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codeName="ЭтаКнига" defaultThemeVersion="124226"/>
  <xr:revisionPtr revIDLastSave="0" documentId="8_{58D6627D-EAE3-394F-873A-3D8C3051CBD1}" xr6:coauthVersionLast="46" xr6:coauthVersionMax="46" xr10:uidLastSave="{00000000-0000-0000-0000-000000000000}"/>
  <bookViews>
    <workbookView xWindow="3150" yWindow="0" windowWidth="12240" windowHeight="12795" tabRatio="871" activeTab="3" xr2:uid="{00000000-000D-0000-FFFF-FFFF00000000}"/>
  </bookViews>
  <sheets>
    <sheet name="Командный зачет" sheetId="45" r:id="rId1"/>
    <sheet name="Кубок края" sheetId="44" r:id="rId2"/>
    <sheet name="Открытый Кубок СибГУ" sheetId="43" r:id="rId3"/>
    <sheet name="Итоговый Всероссийские" sheetId="42" r:id="rId4"/>
    <sheet name="Отчет_ЦСП" sheetId="36" r:id="rId5"/>
    <sheet name="Отчет_ГСК_Первенство" sheetId="22" r:id="rId6"/>
    <sheet name="СП_без предварительных" sheetId="3" r:id="rId7"/>
    <sheet name="СП_с предварительными" sheetId="4" r:id="rId8"/>
    <sheet name="Грамоты_МИНСПОРТА" sheetId="29" r:id="rId9"/>
    <sheet name="Ведомость 6" sheetId="28" r:id="rId10"/>
    <sheet name="Техническая_марафон" sheetId="23" r:id="rId11"/>
    <sheet name="Именная заявка марафон" sheetId="35" r:id="rId12"/>
    <sheet name="Техническая один зачет" sheetId="5" r:id="rId13"/>
    <sheet name="Именная заявка один зачет" sheetId="6" r:id="rId14"/>
    <sheet name="Техническая по возраст группам" sheetId="18" r:id="rId15"/>
    <sheet name="Именная по возраст группам" sheetId="19" r:id="rId16"/>
    <sheet name="Техническая параллельный зачет" sheetId="37" r:id="rId17"/>
    <sheet name="Нормативы" sheetId="31" r:id="rId18"/>
    <sheet name="Карточка эстафеты" sheetId="24" r:id="rId19"/>
    <sheet name="Дистанции взрослые" sheetId="10" r:id="rId20"/>
    <sheet name="Рекорды" sheetId="25" r:id="rId21"/>
    <sheet name="Ст. секундометрист" sheetId="34" r:id="rId22"/>
    <sheet name="Очки" sheetId="16" r:id="rId23"/>
    <sheet name="Протокол прохождения марафон" sheetId="26" r:id="rId24"/>
    <sheet name="Протокол_прохождения" sheetId="20" r:id="rId25"/>
    <sheet name="нормы_с_28.02.20" sheetId="38" r:id="rId26"/>
    <sheet name="Нормы 2018-1921" sheetId="17" r:id="rId27"/>
  </sheets>
  <externalReferences>
    <externalReference r:id="rId28"/>
    <externalReference r:id="rId29"/>
  </externalReferences>
  <definedNames>
    <definedName name="_ftn1" localSheetId="25">'нормы_с_28.02.20'!#REF!</definedName>
    <definedName name="_ftnref1" localSheetId="25">'нормы_с_28.02.20'!#REF!</definedName>
    <definedName name="_xlnm._FilterDatabase" localSheetId="3" hidden="1">'Итоговый Всероссийские'!$A$109:$K$451</definedName>
    <definedName name="_xlnm._FilterDatabase" localSheetId="0" hidden="1">'Командный зачет'!$E$128:$F$142</definedName>
    <definedName name="_xlnm._FilterDatabase" localSheetId="2" hidden="1">'Открытый Кубок СибГУ'!$A$296:$K$442</definedName>
    <definedName name="_xlnm.Print_Titles" localSheetId="11">'Именная заявка марафон'!$8:$8</definedName>
    <definedName name="_xlnm.Print_Titles" localSheetId="13">'Именная заявка один зачет'!$8:$8</definedName>
    <definedName name="_xlnm.Print_Titles" localSheetId="15">'Именная по возраст группам'!$8:$8</definedName>
    <definedName name="_xlnm.Print_Titles" localSheetId="12">'Техническая один зачет'!$19:$20</definedName>
    <definedName name="_xlnm.Print_Titles" localSheetId="16">'Техническая параллельный зачет'!$31:$32</definedName>
    <definedName name="_xlnm.Print_Titles" localSheetId="14">'Техническая по возраст группам'!$19:$20</definedName>
    <definedName name="_xlnm.Print_Area" localSheetId="25">'нормы_с_28.02.20'!$A$1:$V$109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23" i="44" l="1"/>
  <c r="J424" i="44"/>
  <c r="J425" i="44"/>
  <c r="J426" i="44"/>
  <c r="J427" i="44"/>
  <c r="J428" i="44"/>
  <c r="J422" i="44"/>
  <c r="J393" i="43"/>
  <c r="J394" i="43"/>
  <c r="J395" i="43"/>
  <c r="J396" i="43"/>
  <c r="J397" i="43"/>
  <c r="J392" i="43"/>
  <c r="J292" i="42"/>
  <c r="J293" i="42"/>
  <c r="J294" i="42"/>
  <c r="J295" i="42"/>
  <c r="J296" i="42"/>
  <c r="J291" i="42"/>
  <c r="J410" i="44"/>
  <c r="J411" i="44"/>
  <c r="J412" i="44"/>
  <c r="J413" i="44"/>
  <c r="J414" i="44"/>
  <c r="J415" i="44"/>
  <c r="J416" i="44"/>
  <c r="J417" i="44"/>
  <c r="J409" i="44"/>
  <c r="J381" i="43"/>
  <c r="J382" i="43"/>
  <c r="J383" i="43"/>
  <c r="J384" i="43"/>
  <c r="J385" i="43"/>
  <c r="J386" i="43"/>
  <c r="J387" i="43"/>
  <c r="J388" i="43"/>
  <c r="J281" i="42"/>
  <c r="J282" i="42"/>
  <c r="J283" i="42"/>
  <c r="J284" i="42"/>
  <c r="J285" i="42"/>
  <c r="J286" i="42"/>
  <c r="J287" i="42"/>
  <c r="J365" i="44"/>
  <c r="J366" i="44"/>
  <c r="J367" i="44"/>
  <c r="J368" i="44"/>
  <c r="J369" i="44"/>
  <c r="J370" i="44"/>
  <c r="J371" i="44"/>
  <c r="J372" i="44"/>
  <c r="J373" i="44"/>
  <c r="J374" i="44"/>
  <c r="J375" i="44"/>
  <c r="J376" i="44"/>
  <c r="J377" i="44"/>
  <c r="J378" i="44"/>
  <c r="J379" i="44"/>
  <c r="J380" i="44"/>
  <c r="J381" i="44"/>
  <c r="J382" i="44"/>
  <c r="J383" i="44"/>
  <c r="J384" i="44"/>
  <c r="J385" i="44"/>
  <c r="J386" i="44"/>
  <c r="J387" i="44"/>
  <c r="J388" i="44"/>
  <c r="J389" i="44"/>
  <c r="J390" i="44"/>
  <c r="J391" i="44"/>
  <c r="J392" i="44"/>
  <c r="J393" i="44"/>
  <c r="J394" i="44"/>
  <c r="J395" i="44"/>
  <c r="J396" i="44"/>
  <c r="J397" i="44"/>
  <c r="J354" i="43"/>
  <c r="J355" i="43"/>
  <c r="J356" i="43"/>
  <c r="J357" i="43"/>
  <c r="J358" i="43"/>
  <c r="J359" i="43"/>
  <c r="J360" i="43"/>
  <c r="J361" i="43"/>
  <c r="J362" i="43"/>
  <c r="J363" i="43"/>
  <c r="J364" i="43"/>
  <c r="J365" i="43"/>
  <c r="J366" i="43"/>
  <c r="J367" i="43"/>
  <c r="J368" i="43"/>
  <c r="J369" i="43"/>
  <c r="J370" i="43"/>
  <c r="J371" i="43"/>
  <c r="J372" i="43"/>
  <c r="J373" i="43"/>
  <c r="J374" i="43"/>
  <c r="J257" i="42"/>
  <c r="J258" i="42"/>
  <c r="J259" i="42"/>
  <c r="J260" i="42"/>
  <c r="J261" i="42"/>
  <c r="J262" i="42"/>
  <c r="J263" i="42"/>
  <c r="J264" i="42"/>
  <c r="J265" i="42"/>
  <c r="J266" i="42"/>
  <c r="J267" i="42"/>
  <c r="J268" i="42"/>
  <c r="J269" i="42"/>
  <c r="J270" i="42"/>
  <c r="J271" i="42"/>
  <c r="J272" i="42"/>
  <c r="J273" i="42"/>
  <c r="J274" i="42"/>
  <c r="J339" i="44"/>
  <c r="J340" i="44"/>
  <c r="J341" i="44"/>
  <c r="J342" i="44"/>
  <c r="J343" i="44"/>
  <c r="J344" i="44"/>
  <c r="J345" i="44"/>
  <c r="J346" i="44"/>
  <c r="J347" i="44"/>
  <c r="J348" i="44"/>
  <c r="J349" i="44"/>
  <c r="J350" i="44"/>
  <c r="J351" i="44"/>
  <c r="J352" i="44"/>
  <c r="J353" i="44"/>
  <c r="J354" i="44"/>
  <c r="J355" i="44"/>
  <c r="J356" i="44"/>
  <c r="J357" i="44"/>
  <c r="J358" i="44"/>
  <c r="J330" i="43"/>
  <c r="J331" i="43"/>
  <c r="J332" i="43"/>
  <c r="J333" i="43"/>
  <c r="J334" i="43"/>
  <c r="J335" i="43"/>
  <c r="J336" i="43"/>
  <c r="J337" i="43"/>
  <c r="J338" i="43"/>
  <c r="J339" i="43"/>
  <c r="J340" i="43"/>
  <c r="J341" i="43"/>
  <c r="J342" i="43"/>
  <c r="J343" i="43"/>
  <c r="J344" i="43"/>
  <c r="J345" i="43"/>
  <c r="J346" i="43"/>
  <c r="J347" i="43"/>
  <c r="J348" i="43"/>
  <c r="J349" i="43"/>
  <c r="J242" i="42"/>
  <c r="J243" i="42"/>
  <c r="J244" i="42"/>
  <c r="J245" i="42"/>
  <c r="J246" i="42"/>
  <c r="J247" i="42"/>
  <c r="J248" i="42"/>
  <c r="J249" i="42"/>
  <c r="J250" i="42"/>
  <c r="J251" i="42"/>
  <c r="J233" i="42"/>
  <c r="J234" i="42"/>
  <c r="J235" i="42"/>
  <c r="J236" i="42"/>
  <c r="J237" i="42"/>
  <c r="J238" i="42"/>
  <c r="J239" i="42"/>
  <c r="J240" i="42"/>
  <c r="J241" i="42"/>
  <c r="J316" i="44"/>
  <c r="J317" i="44"/>
  <c r="J318" i="44"/>
  <c r="J319" i="44"/>
  <c r="J320" i="44"/>
  <c r="J321" i="44"/>
  <c r="J322" i="44"/>
  <c r="J323" i="44"/>
  <c r="J324" i="44"/>
  <c r="J325" i="44"/>
  <c r="J326" i="44"/>
  <c r="J327" i="44"/>
  <c r="J328" i="44"/>
  <c r="J329" i="44"/>
  <c r="J330" i="44"/>
  <c r="J309" i="43"/>
  <c r="J310" i="43"/>
  <c r="J311" i="43"/>
  <c r="J312" i="43"/>
  <c r="J313" i="43"/>
  <c r="J314" i="43"/>
  <c r="J315" i="43"/>
  <c r="J316" i="43"/>
  <c r="J317" i="43"/>
  <c r="J318" i="43"/>
  <c r="J319" i="43"/>
  <c r="J320" i="43"/>
  <c r="J321" i="43"/>
  <c r="J213" i="42"/>
  <c r="J214" i="42"/>
  <c r="J215" i="42"/>
  <c r="J216" i="42"/>
  <c r="J217" i="42"/>
  <c r="J218" i="42"/>
  <c r="J219" i="42"/>
  <c r="J220" i="42"/>
  <c r="J221" i="42"/>
  <c r="J222" i="42"/>
  <c r="J223" i="42"/>
  <c r="J224" i="42"/>
  <c r="J303" i="44"/>
  <c r="J304" i="44"/>
  <c r="J305" i="44"/>
  <c r="J306" i="44"/>
  <c r="J307" i="44"/>
  <c r="J308" i="44"/>
  <c r="J309" i="44"/>
  <c r="J310" i="44"/>
  <c r="J302" i="44"/>
  <c r="J297" i="43"/>
  <c r="J298" i="43"/>
  <c r="J299" i="43"/>
  <c r="J300" i="43"/>
  <c r="J301" i="43"/>
  <c r="J302" i="43"/>
  <c r="J203" i="42"/>
  <c r="J204" i="42"/>
  <c r="J205" i="42"/>
  <c r="J206" i="42"/>
  <c r="J207" i="42"/>
  <c r="F55" i="45"/>
  <c r="A54" i="45"/>
  <c r="A53" i="45"/>
  <c r="C52" i="45"/>
  <c r="C51" i="45"/>
  <c r="C50" i="45"/>
  <c r="J210" i="44"/>
  <c r="J209" i="44"/>
  <c r="J208" i="44"/>
  <c r="J216" i="44"/>
  <c r="J207" i="44"/>
  <c r="J206" i="44"/>
  <c r="J205" i="44"/>
  <c r="J204" i="44"/>
  <c r="J203" i="44"/>
  <c r="J202" i="44"/>
  <c r="J201" i="44"/>
  <c r="J200" i="44"/>
  <c r="J199" i="44"/>
  <c r="J198" i="44"/>
  <c r="J215" i="44"/>
  <c r="J197" i="44"/>
  <c r="J196" i="44"/>
  <c r="J195" i="44"/>
  <c r="J194" i="44"/>
  <c r="J193" i="44"/>
  <c r="J192" i="44"/>
  <c r="J191" i="44"/>
  <c r="J190" i="44"/>
  <c r="J189" i="44"/>
  <c r="J188" i="44"/>
  <c r="J187" i="44"/>
  <c r="J186" i="44"/>
  <c r="J185" i="44"/>
  <c r="J184" i="44"/>
  <c r="J183" i="44"/>
  <c r="J182" i="44"/>
  <c r="J214" i="44"/>
  <c r="J181" i="44"/>
  <c r="J180" i="44"/>
  <c r="J179" i="44"/>
  <c r="J178" i="44"/>
  <c r="J177" i="44"/>
  <c r="J176" i="44"/>
  <c r="J175" i="44"/>
  <c r="J164" i="44"/>
  <c r="J163" i="44"/>
  <c r="J162" i="44"/>
  <c r="J161" i="44"/>
  <c r="J160" i="44"/>
  <c r="J159" i="44"/>
  <c r="J158" i="44"/>
  <c r="J157" i="44"/>
  <c r="J156" i="44"/>
  <c r="J155" i="44"/>
  <c r="J154" i="44"/>
  <c r="J153" i="44"/>
  <c r="J152" i="44"/>
  <c r="J151" i="44"/>
  <c r="J150" i="44"/>
  <c r="J140" i="44"/>
  <c r="J139" i="44"/>
  <c r="J138" i="44"/>
  <c r="J137" i="44"/>
  <c r="J136" i="44"/>
  <c r="J135" i="44"/>
  <c r="J142" i="44"/>
  <c r="J134" i="44"/>
  <c r="J133" i="44"/>
  <c r="J141" i="44"/>
  <c r="J131" i="44"/>
  <c r="J132" i="44"/>
  <c r="J130" i="44"/>
  <c r="J129" i="44"/>
  <c r="J128" i="44"/>
  <c r="J127" i="44"/>
  <c r="J118" i="44"/>
  <c r="J117" i="44"/>
  <c r="J116" i="44"/>
  <c r="J115" i="44"/>
  <c r="J114" i="44"/>
  <c r="J113" i="44"/>
  <c r="J112" i="44"/>
  <c r="J111" i="44"/>
  <c r="J110" i="44"/>
  <c r="J109" i="44"/>
  <c r="F100" i="44"/>
  <c r="C97" i="44"/>
  <c r="C96" i="44"/>
  <c r="C95" i="44"/>
  <c r="F55" i="44"/>
  <c r="A54" i="44"/>
  <c r="A53" i="44"/>
  <c r="C52" i="44"/>
  <c r="C51" i="44"/>
  <c r="C50" i="44"/>
  <c r="J192" i="43"/>
  <c r="J191" i="43"/>
  <c r="J190" i="43"/>
  <c r="J189" i="43"/>
  <c r="J188" i="43"/>
  <c r="J187" i="43"/>
  <c r="J186" i="43"/>
  <c r="J185" i="43"/>
  <c r="J184" i="43"/>
  <c r="J183" i="43"/>
  <c r="J182" i="43"/>
  <c r="J181" i="43"/>
  <c r="J180" i="43"/>
  <c r="J179" i="43"/>
  <c r="J178" i="43"/>
  <c r="J177" i="43"/>
  <c r="J176" i="43"/>
  <c r="J175" i="43"/>
  <c r="J174" i="43"/>
  <c r="J173" i="43"/>
  <c r="J172" i="43"/>
  <c r="J171" i="43"/>
  <c r="J163" i="43"/>
  <c r="J162" i="43"/>
  <c r="J161" i="43"/>
  <c r="J160" i="43"/>
  <c r="J159" i="43"/>
  <c r="J158" i="43"/>
  <c r="J157" i="43"/>
  <c r="J156" i="43"/>
  <c r="J155" i="43"/>
  <c r="J154" i="43"/>
  <c r="J153" i="43"/>
  <c r="J152" i="43"/>
  <c r="J151" i="43"/>
  <c r="J150" i="43"/>
  <c r="J149" i="43"/>
  <c r="J148" i="43"/>
  <c r="J140" i="43"/>
  <c r="J139" i="43"/>
  <c r="J138" i="43"/>
  <c r="J137" i="43"/>
  <c r="J136" i="43"/>
  <c r="J135" i="43"/>
  <c r="J134" i="43"/>
  <c r="J133" i="43"/>
  <c r="J132" i="43"/>
  <c r="J131" i="43"/>
  <c r="J130" i="43"/>
  <c r="J129" i="43"/>
  <c r="J128" i="43"/>
  <c r="J118" i="43"/>
  <c r="J117" i="43"/>
  <c r="J116" i="43"/>
  <c r="J115" i="43"/>
  <c r="J114" i="43"/>
  <c r="J113" i="43"/>
  <c r="J112" i="43"/>
  <c r="J111" i="43"/>
  <c r="J110" i="43"/>
  <c r="F101" i="43"/>
  <c r="C98" i="43"/>
  <c r="C97" i="43"/>
  <c r="C96" i="43"/>
  <c r="F56" i="43"/>
  <c r="A55" i="43"/>
  <c r="A54" i="43"/>
  <c r="C53" i="43"/>
  <c r="C52" i="43"/>
  <c r="C51" i="43"/>
  <c r="J165" i="42"/>
  <c r="J166" i="42"/>
  <c r="J167" i="42"/>
  <c r="J168" i="42"/>
  <c r="J169" i="42"/>
  <c r="J170" i="42"/>
  <c r="J171" i="42"/>
  <c r="J172" i="42"/>
  <c r="J173" i="42"/>
  <c r="J174" i="42"/>
  <c r="J175" i="42"/>
  <c r="J176" i="42"/>
  <c r="J177" i="42"/>
  <c r="J178" i="42"/>
  <c r="J179" i="42"/>
  <c r="J180" i="42"/>
  <c r="J181" i="42"/>
  <c r="J182" i="42"/>
  <c r="J142" i="42"/>
  <c r="J143" i="42"/>
  <c r="J144" i="42"/>
  <c r="J145" i="42"/>
  <c r="J146" i="42"/>
  <c r="J147" i="42"/>
  <c r="J148" i="42"/>
  <c r="J149" i="42"/>
  <c r="J150" i="42"/>
  <c r="J151" i="42"/>
  <c r="J152" i="42"/>
  <c r="J153" i="42"/>
  <c r="J154" i="42"/>
  <c r="J155" i="42"/>
  <c r="J156" i="42"/>
  <c r="J157" i="42"/>
  <c r="J124" i="42"/>
  <c r="J125" i="42"/>
  <c r="J126" i="42"/>
  <c r="J127" i="42"/>
  <c r="J128" i="42"/>
  <c r="J129" i="42"/>
  <c r="J130" i="42"/>
  <c r="J131" i="42"/>
  <c r="J132" i="42"/>
  <c r="J133" i="42"/>
  <c r="J134" i="42"/>
  <c r="J135" i="42"/>
  <c r="J109" i="42"/>
  <c r="J110" i="42"/>
  <c r="J111" i="42"/>
  <c r="J112" i="42"/>
  <c r="J113" i="42"/>
  <c r="J114" i="42"/>
  <c r="J115" i="42"/>
  <c r="J116" i="42"/>
  <c r="F101" i="42"/>
  <c r="C98" i="42"/>
  <c r="C97" i="42"/>
  <c r="C96" i="42"/>
  <c r="F56" i="42"/>
  <c r="A55" i="42"/>
  <c r="A54" i="42"/>
  <c r="C53" i="42"/>
  <c r="C52" i="42"/>
  <c r="C51" i="42"/>
  <c r="N346" i="31"/>
  <c r="N347" i="31"/>
  <c r="N348" i="31"/>
  <c r="N349" i="31"/>
  <c r="N350" i="31"/>
  <c r="N351" i="31"/>
  <c r="M346" i="31"/>
  <c r="M347" i="31"/>
  <c r="M348" i="31"/>
  <c r="M349" i="31"/>
  <c r="M350" i="31"/>
  <c r="M351" i="31"/>
  <c r="N338" i="31"/>
  <c r="N339" i="31"/>
  <c r="N340" i="31"/>
  <c r="N341" i="31"/>
  <c r="N342" i="31"/>
  <c r="N343" i="31"/>
  <c r="M343" i="31"/>
  <c r="M338" i="31"/>
  <c r="M339" i="31"/>
  <c r="M340" i="31"/>
  <c r="M341" i="31"/>
  <c r="M342" i="31"/>
  <c r="J378" i="31"/>
  <c r="J379" i="31"/>
  <c r="J380" i="31"/>
  <c r="J381" i="31"/>
  <c r="J382" i="31"/>
  <c r="J383" i="31"/>
  <c r="I378" i="31"/>
  <c r="I379" i="31"/>
  <c r="I380" i="31"/>
  <c r="I381" i="31"/>
  <c r="I382" i="31"/>
  <c r="I383" i="31"/>
  <c r="L381" i="31"/>
  <c r="N381" i="31"/>
  <c r="J370" i="31"/>
  <c r="J371" i="31"/>
  <c r="J372" i="31"/>
  <c r="J373" i="31"/>
  <c r="J374" i="31"/>
  <c r="J375" i="31"/>
  <c r="I370" i="31"/>
  <c r="I371" i="31"/>
  <c r="I372" i="31"/>
  <c r="I373" i="31"/>
  <c r="I374" i="31"/>
  <c r="I375" i="31"/>
  <c r="L372" i="31"/>
  <c r="N372" i="31"/>
  <c r="L383" i="31"/>
  <c r="N383" i="31"/>
  <c r="L382" i="31"/>
  <c r="M382" i="31"/>
  <c r="L380" i="31"/>
  <c r="M380" i="31"/>
  <c r="L379" i="31"/>
  <c r="N379" i="31"/>
  <c r="L378" i="31"/>
  <c r="M378" i="31"/>
  <c r="L375" i="31"/>
  <c r="N375" i="31"/>
  <c r="L374" i="31"/>
  <c r="N374" i="31"/>
  <c r="L373" i="31"/>
  <c r="N373" i="31"/>
  <c r="L371" i="31"/>
  <c r="N371" i="31"/>
  <c r="L370" i="31"/>
  <c r="N370" i="31"/>
  <c r="J362" i="31"/>
  <c r="J363" i="31"/>
  <c r="J364" i="31"/>
  <c r="J365" i="31"/>
  <c r="J366" i="31"/>
  <c r="J367" i="31"/>
  <c r="I362" i="31"/>
  <c r="I363" i="31"/>
  <c r="I364" i="31"/>
  <c r="I365" i="31"/>
  <c r="I366" i="31"/>
  <c r="I367" i="31"/>
  <c r="J355" i="31"/>
  <c r="J356" i="31"/>
  <c r="J357" i="31"/>
  <c r="J358" i="31"/>
  <c r="J359" i="31"/>
  <c r="J354" i="31"/>
  <c r="I355" i="31"/>
  <c r="I356" i="31"/>
  <c r="I357" i="31"/>
  <c r="I358" i="31"/>
  <c r="I359" i="31"/>
  <c r="I354" i="31"/>
  <c r="M330" i="31"/>
  <c r="N330" i="31"/>
  <c r="M331" i="31"/>
  <c r="N331" i="31"/>
  <c r="M332" i="31"/>
  <c r="N332" i="31"/>
  <c r="M333" i="31"/>
  <c r="N333" i="31"/>
  <c r="M334" i="31"/>
  <c r="N334" i="31"/>
  <c r="N335" i="31"/>
  <c r="M335" i="31"/>
  <c r="N322" i="31"/>
  <c r="N323" i="31"/>
  <c r="N324" i="31"/>
  <c r="N325" i="31"/>
  <c r="N326" i="31"/>
  <c r="N327" i="31"/>
  <c r="M322" i="31"/>
  <c r="M323" i="31"/>
  <c r="M324" i="31"/>
  <c r="M325" i="31"/>
  <c r="M326" i="31"/>
  <c r="M327" i="31"/>
  <c r="N314" i="31"/>
  <c r="N315" i="31"/>
  <c r="N316" i="31"/>
  <c r="N317" i="31"/>
  <c r="N318" i="31"/>
  <c r="N319" i="31"/>
  <c r="M314" i="31"/>
  <c r="M315" i="31"/>
  <c r="M316" i="31"/>
  <c r="M317" i="31"/>
  <c r="M318" i="31"/>
  <c r="M319" i="31"/>
  <c r="N306" i="31"/>
  <c r="N307" i="31"/>
  <c r="N308" i="31"/>
  <c r="N309" i="31"/>
  <c r="N310" i="31"/>
  <c r="N311" i="31"/>
  <c r="M307" i="31"/>
  <c r="M308" i="31"/>
  <c r="M309" i="31"/>
  <c r="M310" i="31"/>
  <c r="M311" i="31"/>
  <c r="M306" i="31"/>
  <c r="J231" i="31"/>
  <c r="J232" i="31"/>
  <c r="J233" i="31"/>
  <c r="J234" i="31"/>
  <c r="J235" i="31"/>
  <c r="J236" i="31"/>
  <c r="J237" i="31"/>
  <c r="J238" i="31"/>
  <c r="J239" i="31"/>
  <c r="I231" i="31"/>
  <c r="I232" i="31"/>
  <c r="I233" i="31"/>
  <c r="I234" i="31"/>
  <c r="I235" i="31"/>
  <c r="I236" i="31"/>
  <c r="I237" i="31"/>
  <c r="I238" i="31"/>
  <c r="I239" i="31"/>
  <c r="J220" i="31"/>
  <c r="J221" i="31"/>
  <c r="J222" i="31"/>
  <c r="J223" i="31"/>
  <c r="J224" i="31"/>
  <c r="J225" i="31"/>
  <c r="J226" i="31"/>
  <c r="J227" i="31"/>
  <c r="J228" i="31"/>
  <c r="I220" i="31"/>
  <c r="I221" i="31"/>
  <c r="I222" i="31"/>
  <c r="I223" i="31"/>
  <c r="I224" i="31"/>
  <c r="I225" i="31"/>
  <c r="I226" i="31"/>
  <c r="I227" i="31"/>
  <c r="I228" i="31"/>
  <c r="J192" i="31"/>
  <c r="J193" i="31"/>
  <c r="J194" i="31"/>
  <c r="J195" i="31"/>
  <c r="J196" i="31"/>
  <c r="J197" i="31"/>
  <c r="J198" i="31"/>
  <c r="J199" i="31"/>
  <c r="J200" i="31"/>
  <c r="I192" i="31"/>
  <c r="I193" i="31"/>
  <c r="I194" i="31"/>
  <c r="I195" i="31"/>
  <c r="I196" i="31"/>
  <c r="I197" i="31"/>
  <c r="I198" i="31"/>
  <c r="I199" i="31"/>
  <c r="I200" i="31"/>
  <c r="J181" i="31"/>
  <c r="J182" i="31"/>
  <c r="J183" i="31"/>
  <c r="J184" i="31"/>
  <c r="J185" i="31"/>
  <c r="J186" i="31"/>
  <c r="J187" i="31"/>
  <c r="J188" i="31"/>
  <c r="J189" i="31"/>
  <c r="I181" i="31"/>
  <c r="I182" i="31"/>
  <c r="I183" i="31"/>
  <c r="I184" i="31"/>
  <c r="I185" i="31"/>
  <c r="I186" i="31"/>
  <c r="I187" i="31"/>
  <c r="I188" i="31"/>
  <c r="I189" i="31"/>
  <c r="J170" i="31"/>
  <c r="J171" i="31"/>
  <c r="J172" i="31"/>
  <c r="J173" i="31"/>
  <c r="J174" i="31"/>
  <c r="J175" i="31"/>
  <c r="J176" i="31"/>
  <c r="J177" i="31"/>
  <c r="J178" i="31"/>
  <c r="I170" i="31"/>
  <c r="I171" i="31"/>
  <c r="I172" i="31"/>
  <c r="I173" i="31"/>
  <c r="I174" i="31"/>
  <c r="I175" i="31"/>
  <c r="I176" i="31"/>
  <c r="I177" i="31"/>
  <c r="I178" i="31"/>
  <c r="J159" i="31"/>
  <c r="J160" i="31"/>
  <c r="J161" i="31"/>
  <c r="J162" i="31"/>
  <c r="J163" i="31"/>
  <c r="J164" i="31"/>
  <c r="J165" i="31"/>
  <c r="J166" i="31"/>
  <c r="J167" i="31"/>
  <c r="I159" i="31"/>
  <c r="I160" i="31"/>
  <c r="I161" i="31"/>
  <c r="I162" i="31"/>
  <c r="I163" i="31"/>
  <c r="I164" i="31"/>
  <c r="I165" i="31"/>
  <c r="I166" i="31"/>
  <c r="I167" i="31"/>
  <c r="J148" i="31"/>
  <c r="J149" i="31"/>
  <c r="J150" i="31"/>
  <c r="J151" i="31"/>
  <c r="J152" i="31"/>
  <c r="J153" i="31"/>
  <c r="J154" i="31"/>
  <c r="J155" i="31"/>
  <c r="J156" i="31"/>
  <c r="I148" i="31"/>
  <c r="I149" i="31"/>
  <c r="I150" i="31"/>
  <c r="I151" i="31"/>
  <c r="I152" i="31"/>
  <c r="I153" i="31"/>
  <c r="I154" i="31"/>
  <c r="I155" i="31"/>
  <c r="I156" i="31"/>
  <c r="J137" i="31"/>
  <c r="J138" i="31"/>
  <c r="J139" i="31"/>
  <c r="J140" i="31"/>
  <c r="J141" i="31"/>
  <c r="J142" i="31"/>
  <c r="J143" i="31"/>
  <c r="J144" i="31"/>
  <c r="J145" i="31"/>
  <c r="I137" i="31"/>
  <c r="I138" i="31"/>
  <c r="I139" i="31"/>
  <c r="I140" i="31"/>
  <c r="I141" i="31"/>
  <c r="I142" i="31"/>
  <c r="I143" i="31"/>
  <c r="I144" i="31"/>
  <c r="I145" i="31"/>
  <c r="J126" i="31"/>
  <c r="J127" i="31"/>
  <c r="J128" i="31"/>
  <c r="J129" i="31"/>
  <c r="J130" i="31"/>
  <c r="J131" i="31"/>
  <c r="J132" i="31"/>
  <c r="J133" i="31"/>
  <c r="J134" i="31"/>
  <c r="I126" i="31"/>
  <c r="I127" i="31"/>
  <c r="I128" i="31"/>
  <c r="I129" i="31"/>
  <c r="I130" i="31"/>
  <c r="I131" i="31"/>
  <c r="I132" i="31"/>
  <c r="I133" i="31"/>
  <c r="I134" i="31"/>
  <c r="J115" i="31"/>
  <c r="J116" i="31"/>
  <c r="J117" i="31"/>
  <c r="J118" i="31"/>
  <c r="J119" i="31"/>
  <c r="J120" i="31"/>
  <c r="J121" i="31"/>
  <c r="J122" i="31"/>
  <c r="J123" i="31"/>
  <c r="I115" i="31"/>
  <c r="I116" i="31"/>
  <c r="I117" i="31"/>
  <c r="I118" i="31"/>
  <c r="I119" i="31"/>
  <c r="I120" i="31"/>
  <c r="I121" i="31"/>
  <c r="I122" i="31"/>
  <c r="I123" i="31"/>
  <c r="J104" i="31"/>
  <c r="J105" i="31"/>
  <c r="J106" i="31"/>
  <c r="J107" i="31"/>
  <c r="J108" i="31"/>
  <c r="J109" i="31"/>
  <c r="J110" i="31"/>
  <c r="J111" i="31"/>
  <c r="J112" i="31"/>
  <c r="I104" i="31"/>
  <c r="I105" i="31"/>
  <c r="I106" i="31"/>
  <c r="I107" i="31"/>
  <c r="I108" i="31"/>
  <c r="I109" i="31"/>
  <c r="I110" i="31"/>
  <c r="I111" i="31"/>
  <c r="I112" i="31"/>
  <c r="J93" i="31"/>
  <c r="J94" i="31"/>
  <c r="J95" i="31"/>
  <c r="J96" i="31"/>
  <c r="J97" i="31"/>
  <c r="J98" i="31"/>
  <c r="J99" i="31"/>
  <c r="J100" i="31"/>
  <c r="J101" i="31"/>
  <c r="I93" i="31"/>
  <c r="I94" i="31"/>
  <c r="I95" i="31"/>
  <c r="I96" i="31"/>
  <c r="I97" i="31"/>
  <c r="I98" i="31"/>
  <c r="I99" i="31"/>
  <c r="I100" i="31"/>
  <c r="I101" i="31"/>
  <c r="J82" i="31"/>
  <c r="J83" i="31"/>
  <c r="J84" i="31"/>
  <c r="J85" i="31"/>
  <c r="J86" i="31"/>
  <c r="J87" i="31"/>
  <c r="J88" i="31"/>
  <c r="J89" i="31"/>
  <c r="J90" i="31"/>
  <c r="I82" i="31"/>
  <c r="I83" i="31"/>
  <c r="I84" i="31"/>
  <c r="I85" i="31"/>
  <c r="I86" i="31"/>
  <c r="I87" i="31"/>
  <c r="I88" i="31"/>
  <c r="I89" i="31"/>
  <c r="I90" i="31"/>
  <c r="J71" i="31"/>
  <c r="J72" i="31"/>
  <c r="J73" i="31"/>
  <c r="J74" i="31"/>
  <c r="J75" i="31"/>
  <c r="J76" i="31"/>
  <c r="J77" i="31"/>
  <c r="J78" i="31"/>
  <c r="J79" i="31"/>
  <c r="I71" i="31"/>
  <c r="I72" i="31"/>
  <c r="I73" i="31"/>
  <c r="I74" i="31"/>
  <c r="I75" i="31"/>
  <c r="I76" i="31"/>
  <c r="I77" i="31"/>
  <c r="I78" i="31"/>
  <c r="I79" i="31"/>
  <c r="J60" i="31"/>
  <c r="J61" i="31"/>
  <c r="J62" i="31"/>
  <c r="J63" i="31"/>
  <c r="J64" i="31"/>
  <c r="J65" i="31"/>
  <c r="J66" i="31"/>
  <c r="J67" i="31"/>
  <c r="J68" i="31"/>
  <c r="I60" i="31"/>
  <c r="I61" i="31"/>
  <c r="I62" i="31"/>
  <c r="I63" i="31"/>
  <c r="I64" i="31"/>
  <c r="I65" i="31"/>
  <c r="I66" i="31"/>
  <c r="I67" i="31"/>
  <c r="I68" i="31"/>
  <c r="J49" i="31"/>
  <c r="J50" i="31"/>
  <c r="J51" i="31"/>
  <c r="J52" i="31"/>
  <c r="J53" i="31"/>
  <c r="J54" i="31"/>
  <c r="J55" i="31"/>
  <c r="J56" i="31"/>
  <c r="J57" i="31"/>
  <c r="I49" i="31"/>
  <c r="I50" i="31"/>
  <c r="I51" i="31"/>
  <c r="I52" i="31"/>
  <c r="I53" i="31"/>
  <c r="I54" i="31"/>
  <c r="I56" i="31"/>
  <c r="I57" i="31"/>
  <c r="I55" i="31"/>
  <c r="J38" i="31"/>
  <c r="J39" i="31"/>
  <c r="J40" i="31"/>
  <c r="J41" i="31"/>
  <c r="J42" i="31"/>
  <c r="J43" i="31"/>
  <c r="J44" i="31"/>
  <c r="J45" i="31"/>
  <c r="J46" i="31"/>
  <c r="I38" i="31"/>
  <c r="I39" i="31"/>
  <c r="I40" i="31"/>
  <c r="I41" i="31"/>
  <c r="I42" i="31"/>
  <c r="I43" i="31"/>
  <c r="I44" i="31"/>
  <c r="I45" i="31"/>
  <c r="I46" i="31"/>
  <c r="J27" i="31"/>
  <c r="J28" i="31"/>
  <c r="J29" i="31"/>
  <c r="J30" i="31"/>
  <c r="J31" i="31"/>
  <c r="J32" i="31"/>
  <c r="J33" i="31"/>
  <c r="J34" i="31"/>
  <c r="J35" i="31"/>
  <c r="I35" i="31"/>
  <c r="I27" i="31"/>
  <c r="I28" i="31"/>
  <c r="I29" i="31"/>
  <c r="I30" i="31"/>
  <c r="I31" i="31"/>
  <c r="I32" i="31"/>
  <c r="I33" i="31"/>
  <c r="I34" i="31"/>
  <c r="J16" i="31"/>
  <c r="J17" i="31"/>
  <c r="J18" i="31"/>
  <c r="J19" i="31"/>
  <c r="J20" i="31"/>
  <c r="J21" i="31"/>
  <c r="J22" i="31"/>
  <c r="J23" i="31"/>
  <c r="J24" i="31"/>
  <c r="I16" i="31"/>
  <c r="I17" i="31"/>
  <c r="I18" i="31"/>
  <c r="I19" i="31"/>
  <c r="I20" i="31"/>
  <c r="I21" i="31"/>
  <c r="I22" i="31"/>
  <c r="I23" i="31"/>
  <c r="I24" i="31"/>
  <c r="J5" i="31"/>
  <c r="J6" i="31"/>
  <c r="J7" i="31"/>
  <c r="J8" i="31"/>
  <c r="J9" i="31"/>
  <c r="J10" i="31"/>
  <c r="J11" i="31"/>
  <c r="J12" i="31"/>
  <c r="J13" i="31"/>
  <c r="I5" i="31"/>
  <c r="I6" i="31"/>
  <c r="I7" i="31"/>
  <c r="I8" i="31"/>
  <c r="I9" i="31"/>
  <c r="I10" i="31"/>
  <c r="I11" i="31"/>
  <c r="I12" i="31"/>
  <c r="I13" i="31"/>
  <c r="L239" i="31"/>
  <c r="L238" i="31"/>
  <c r="L237" i="31"/>
  <c r="L236" i="31"/>
  <c r="L235" i="31"/>
  <c r="L234" i="31"/>
  <c r="L233" i="31"/>
  <c r="L232" i="31"/>
  <c r="L231" i="31"/>
  <c r="L228" i="31"/>
  <c r="L226" i="31"/>
  <c r="L225" i="31"/>
  <c r="L224" i="31"/>
  <c r="L223" i="31"/>
  <c r="L222" i="31"/>
  <c r="L221" i="31"/>
  <c r="L220" i="31"/>
  <c r="L367" i="31"/>
  <c r="M367" i="31"/>
  <c r="L366" i="31"/>
  <c r="N366" i="31"/>
  <c r="L365" i="31"/>
  <c r="N365" i="31"/>
  <c r="L364" i="31"/>
  <c r="N364" i="31"/>
  <c r="L363" i="31"/>
  <c r="M363" i="31"/>
  <c r="L362" i="31"/>
  <c r="N362" i="31"/>
  <c r="L359" i="31"/>
  <c r="M359" i="31"/>
  <c r="L358" i="31"/>
  <c r="N358" i="31"/>
  <c r="L357" i="31"/>
  <c r="N357" i="31"/>
  <c r="L356" i="31"/>
  <c r="N356" i="31"/>
  <c r="L355" i="31"/>
  <c r="M355" i="31"/>
  <c r="L354" i="31"/>
  <c r="N354" i="31"/>
  <c r="L303" i="31"/>
  <c r="L302" i="31"/>
  <c r="L301" i="31"/>
  <c r="L300" i="31"/>
  <c r="L299" i="31"/>
  <c r="L298" i="31"/>
  <c r="L295" i="31"/>
  <c r="L294" i="31"/>
  <c r="L293" i="31"/>
  <c r="L292" i="31"/>
  <c r="L291" i="31"/>
  <c r="L290" i="31"/>
  <c r="L271" i="31"/>
  <c r="L270" i="31"/>
  <c r="L269" i="31"/>
  <c r="L268" i="31"/>
  <c r="L267" i="31"/>
  <c r="L266" i="31"/>
  <c r="L263" i="31"/>
  <c r="L262" i="31"/>
  <c r="L261" i="31"/>
  <c r="L260" i="31"/>
  <c r="L259" i="31"/>
  <c r="L258" i="31"/>
  <c r="L217" i="31"/>
  <c r="L216" i="31"/>
  <c r="L215" i="31"/>
  <c r="L214" i="31"/>
  <c r="L213" i="31"/>
  <c r="L212" i="31"/>
  <c r="L208" i="31"/>
  <c r="L207" i="31"/>
  <c r="L206" i="31"/>
  <c r="L205" i="31"/>
  <c r="L204" i="31"/>
  <c r="L203" i="31"/>
  <c r="L200" i="31"/>
  <c r="L199" i="31"/>
  <c r="L198" i="31"/>
  <c r="L197" i="31"/>
  <c r="L196" i="31"/>
  <c r="L195" i="31"/>
  <c r="L194" i="31"/>
  <c r="L193" i="31"/>
  <c r="L192" i="31"/>
  <c r="L189" i="31"/>
  <c r="L188" i="31"/>
  <c r="L187" i="31"/>
  <c r="L186" i="31"/>
  <c r="L185" i="31"/>
  <c r="L184" i="31"/>
  <c r="L183" i="31"/>
  <c r="L182" i="31"/>
  <c r="L181" i="31"/>
  <c r="L178" i="31"/>
  <c r="N178" i="31"/>
  <c r="L177" i="31"/>
  <c r="M177" i="31"/>
  <c r="L176" i="31"/>
  <c r="N176" i="31"/>
  <c r="L175" i="31"/>
  <c r="M175" i="31"/>
  <c r="L174" i="31"/>
  <c r="N174" i="31"/>
  <c r="L173" i="31"/>
  <c r="M173" i="31"/>
  <c r="L172" i="31"/>
  <c r="N172" i="31"/>
  <c r="L171" i="31"/>
  <c r="M171" i="31"/>
  <c r="L170" i="31"/>
  <c r="N170" i="31"/>
  <c r="L167" i="31"/>
  <c r="N167" i="31"/>
  <c r="L166" i="31"/>
  <c r="M166" i="31"/>
  <c r="L165" i="31"/>
  <c r="N165" i="31"/>
  <c r="L164" i="31"/>
  <c r="M164" i="31"/>
  <c r="L163" i="31"/>
  <c r="N163" i="31"/>
  <c r="L162" i="31"/>
  <c r="M162" i="31"/>
  <c r="L161" i="31"/>
  <c r="N161" i="31"/>
  <c r="L160" i="31"/>
  <c r="M160" i="31"/>
  <c r="L159" i="31"/>
  <c r="N159" i="31"/>
  <c r="L156" i="31"/>
  <c r="L155" i="31"/>
  <c r="L154" i="31"/>
  <c r="L153" i="31"/>
  <c r="L152" i="31"/>
  <c r="L151" i="31"/>
  <c r="L150" i="31"/>
  <c r="L149" i="31"/>
  <c r="L148" i="31"/>
  <c r="L145" i="31"/>
  <c r="L144" i="31"/>
  <c r="L143" i="31"/>
  <c r="L142" i="31"/>
  <c r="L141" i="31"/>
  <c r="L140" i="31"/>
  <c r="L139" i="31"/>
  <c r="L138" i="31"/>
  <c r="L137" i="31"/>
  <c r="L134" i="31"/>
  <c r="N134" i="31"/>
  <c r="L133" i="31"/>
  <c r="M133" i="31"/>
  <c r="L132" i="31"/>
  <c r="N132" i="31"/>
  <c r="L131" i="31"/>
  <c r="M131" i="31"/>
  <c r="L130" i="31"/>
  <c r="N130" i="31"/>
  <c r="L129" i="31"/>
  <c r="M129" i="31"/>
  <c r="L128" i="31"/>
  <c r="N128" i="31"/>
  <c r="L127" i="31"/>
  <c r="M127" i="31"/>
  <c r="L126" i="31"/>
  <c r="N126" i="31"/>
  <c r="L123" i="31"/>
  <c r="N123" i="31"/>
  <c r="L122" i="31"/>
  <c r="M122" i="31"/>
  <c r="L121" i="31"/>
  <c r="N121" i="31"/>
  <c r="L120" i="31"/>
  <c r="M120" i="31"/>
  <c r="L119" i="31"/>
  <c r="N119" i="31"/>
  <c r="L118" i="31"/>
  <c r="M118" i="31"/>
  <c r="L117" i="31"/>
  <c r="N117" i="31"/>
  <c r="L116" i="31"/>
  <c r="M116" i="31"/>
  <c r="L115" i="31"/>
  <c r="N115" i="31"/>
  <c r="L112" i="31"/>
  <c r="L111" i="31"/>
  <c r="L110" i="31"/>
  <c r="L109" i="31"/>
  <c r="L108" i="31"/>
  <c r="L107" i="31"/>
  <c r="L106" i="31"/>
  <c r="L105" i="31"/>
  <c r="L104" i="31"/>
  <c r="L101" i="31"/>
  <c r="L100" i="31"/>
  <c r="L99" i="31"/>
  <c r="L98" i="31"/>
  <c r="L97" i="31"/>
  <c r="L96" i="31"/>
  <c r="L95" i="31"/>
  <c r="L94" i="31"/>
  <c r="L93" i="31"/>
  <c r="L90" i="31"/>
  <c r="N90" i="31"/>
  <c r="L89" i="31"/>
  <c r="M89" i="31"/>
  <c r="L88" i="31"/>
  <c r="N88" i="31"/>
  <c r="L87" i="31"/>
  <c r="M87" i="31"/>
  <c r="L86" i="31"/>
  <c r="N86" i="31"/>
  <c r="L85" i="31"/>
  <c r="M85" i="31"/>
  <c r="L84" i="31"/>
  <c r="N84" i="31"/>
  <c r="L83" i="31"/>
  <c r="M83" i="31"/>
  <c r="L82" i="31"/>
  <c r="N82" i="31"/>
  <c r="L79" i="31"/>
  <c r="N79" i="31"/>
  <c r="L78" i="31"/>
  <c r="M78" i="31"/>
  <c r="L77" i="31"/>
  <c r="N77" i="31"/>
  <c r="L76" i="31"/>
  <c r="M76" i="31"/>
  <c r="L75" i="31"/>
  <c r="N75" i="31"/>
  <c r="L74" i="31"/>
  <c r="M74" i="31"/>
  <c r="L73" i="31"/>
  <c r="N73" i="31"/>
  <c r="L72" i="31"/>
  <c r="M72" i="31"/>
  <c r="L71" i="31"/>
  <c r="N71" i="31"/>
  <c r="L68" i="31"/>
  <c r="L67" i="31"/>
  <c r="L66" i="31"/>
  <c r="L65" i="31"/>
  <c r="L64" i="31"/>
  <c r="L63" i="31"/>
  <c r="L62" i="31"/>
  <c r="L61" i="31"/>
  <c r="L60" i="31"/>
  <c r="L57" i="31"/>
  <c r="M57" i="31"/>
  <c r="L56" i="31"/>
  <c r="L54" i="31"/>
  <c r="L53" i="31"/>
  <c r="L52" i="31"/>
  <c r="L51" i="31"/>
  <c r="L50" i="31"/>
  <c r="L49" i="31"/>
  <c r="L46" i="31"/>
  <c r="M46" i="31"/>
  <c r="L45" i="31"/>
  <c r="N45" i="31"/>
  <c r="L44" i="31"/>
  <c r="M44" i="31"/>
  <c r="L43" i="31"/>
  <c r="N43" i="31"/>
  <c r="L42" i="31"/>
  <c r="M42" i="31"/>
  <c r="L41" i="31"/>
  <c r="N41" i="31"/>
  <c r="L40" i="31"/>
  <c r="M40" i="31"/>
  <c r="L39" i="31"/>
  <c r="N39" i="31"/>
  <c r="L38" i="31"/>
  <c r="M38" i="31"/>
  <c r="L35" i="31"/>
  <c r="M35" i="31"/>
  <c r="L34" i="31"/>
  <c r="N34" i="31"/>
  <c r="L33" i="31"/>
  <c r="M33" i="31"/>
  <c r="L32" i="31"/>
  <c r="N32" i="31"/>
  <c r="L31" i="31"/>
  <c r="M31" i="31"/>
  <c r="L30" i="31"/>
  <c r="N30" i="31"/>
  <c r="L29" i="31"/>
  <c r="M29" i="31"/>
  <c r="L28" i="31"/>
  <c r="N28" i="31"/>
  <c r="L27" i="31"/>
  <c r="M27" i="31"/>
  <c r="L24" i="31"/>
  <c r="L23" i="31"/>
  <c r="L22" i="31"/>
  <c r="L21" i="31"/>
  <c r="L20" i="31"/>
  <c r="L19" i="31"/>
  <c r="L18" i="31"/>
  <c r="L17" i="31"/>
  <c r="L16" i="31"/>
  <c r="M16" i="31"/>
  <c r="L8" i="31"/>
  <c r="L9" i="31"/>
  <c r="L10" i="31"/>
  <c r="L11" i="31"/>
  <c r="L12" i="31"/>
  <c r="L13" i="31"/>
  <c r="L7" i="31"/>
  <c r="L6" i="31"/>
  <c r="L5" i="31"/>
  <c r="A42" i="38"/>
  <c r="A44" i="38"/>
  <c r="A46" i="38"/>
  <c r="A48" i="38"/>
  <c r="A50" i="38"/>
  <c r="A52" i="38"/>
  <c r="A54" i="38"/>
  <c r="A56" i="38"/>
  <c r="A58" i="38"/>
  <c r="A60" i="38"/>
  <c r="A62" i="38"/>
  <c r="A64" i="38"/>
  <c r="A66" i="38"/>
  <c r="A68" i="38"/>
  <c r="A70" i="38"/>
  <c r="A32" i="38"/>
  <c r="A21" i="38"/>
  <c r="A22" i="38"/>
  <c r="A23" i="38"/>
  <c r="B17" i="38"/>
  <c r="C17" i="38"/>
  <c r="D17" i="38"/>
  <c r="E17" i="38"/>
  <c r="F17" i="38"/>
  <c r="G17" i="38"/>
  <c r="H17" i="38"/>
  <c r="I17" i="38"/>
  <c r="J17" i="38"/>
  <c r="K17" i="38"/>
  <c r="L17" i="38"/>
  <c r="M17" i="38"/>
  <c r="N17" i="38"/>
  <c r="O17" i="38"/>
  <c r="P17" i="38"/>
  <c r="Q17" i="38"/>
  <c r="R17" i="38"/>
  <c r="S17" i="38"/>
  <c r="T17" i="38"/>
  <c r="U17" i="38"/>
  <c r="V17" i="38"/>
  <c r="M357" i="31"/>
  <c r="N367" i="31"/>
  <c r="N359" i="31"/>
  <c r="N363" i="31"/>
  <c r="M375" i="31"/>
  <c r="N355" i="31"/>
  <c r="M373" i="31"/>
  <c r="N382" i="31"/>
  <c r="M381" i="31"/>
  <c r="M379" i="31"/>
  <c r="M365" i="31"/>
  <c r="M371" i="31"/>
  <c r="N378" i="31"/>
  <c r="N380" i="31"/>
  <c r="M383" i="31"/>
  <c r="N16" i="31"/>
  <c r="M374" i="31"/>
  <c r="M372" i="31"/>
  <c r="M370" i="31"/>
  <c r="M30" i="31"/>
  <c r="N42" i="31"/>
  <c r="M75" i="31"/>
  <c r="N87" i="31"/>
  <c r="M34" i="31"/>
  <c r="N46" i="31"/>
  <c r="N38" i="31"/>
  <c r="M79" i="31"/>
  <c r="M71" i="31"/>
  <c r="N83" i="31"/>
  <c r="M358" i="31"/>
  <c r="M356" i="31"/>
  <c r="M354" i="31"/>
  <c r="M366" i="31"/>
  <c r="M364" i="31"/>
  <c r="M362" i="31"/>
  <c r="M32" i="31"/>
  <c r="M28" i="31"/>
  <c r="N44" i="31"/>
  <c r="N40" i="31"/>
  <c r="M77" i="31"/>
  <c r="M73" i="31"/>
  <c r="N89" i="31"/>
  <c r="N85" i="31"/>
  <c r="M123" i="31"/>
  <c r="M121" i="31"/>
  <c r="M119" i="31"/>
  <c r="M117" i="31"/>
  <c r="M115" i="31"/>
  <c r="N122" i="31"/>
  <c r="N120" i="31"/>
  <c r="N118" i="31"/>
  <c r="N116" i="31"/>
  <c r="M134" i="31"/>
  <c r="M132" i="31"/>
  <c r="M130" i="31"/>
  <c r="M128" i="31"/>
  <c r="M126" i="31"/>
  <c r="N133" i="31"/>
  <c r="N131" i="31"/>
  <c r="N129" i="31"/>
  <c r="N127" i="31"/>
  <c r="M167" i="31"/>
  <c r="M165" i="31"/>
  <c r="M163" i="31"/>
  <c r="M161" i="31"/>
  <c r="M159" i="31"/>
  <c r="N166" i="31"/>
  <c r="N164" i="31"/>
  <c r="N162" i="31"/>
  <c r="N160" i="31"/>
  <c r="M178" i="31"/>
  <c r="M176" i="31"/>
  <c r="M174" i="31"/>
  <c r="M172" i="31"/>
  <c r="M170" i="31"/>
  <c r="N177" i="31"/>
  <c r="N175" i="31"/>
  <c r="N173" i="31"/>
  <c r="N171" i="31"/>
  <c r="N35" i="31"/>
  <c r="N33" i="31"/>
  <c r="N31" i="31"/>
  <c r="N29" i="31"/>
  <c r="N27" i="31"/>
  <c r="M45" i="31"/>
  <c r="M43" i="31"/>
  <c r="M41" i="31"/>
  <c r="M39" i="31"/>
  <c r="N78" i="31"/>
  <c r="N76" i="31"/>
  <c r="N74" i="31"/>
  <c r="N72" i="31"/>
  <c r="M90" i="31"/>
  <c r="M88" i="31"/>
  <c r="M86" i="31"/>
  <c r="M84" i="31"/>
  <c r="M82" i="31"/>
  <c r="B10" i="19"/>
  <c r="B11" i="19"/>
  <c r="B12" i="19"/>
  <c r="B13" i="19"/>
  <c r="B14" i="19"/>
  <c r="B15" i="19"/>
  <c r="B16" i="19"/>
  <c r="B17" i="19"/>
  <c r="B18" i="19"/>
  <c r="B19" i="19"/>
  <c r="B20" i="19"/>
  <c r="B21" i="19"/>
  <c r="B22" i="19"/>
  <c r="B23" i="19"/>
  <c r="B24" i="19"/>
  <c r="B25" i="19"/>
  <c r="B26" i="19"/>
  <c r="B27" i="19"/>
  <c r="B28" i="19"/>
  <c r="B29" i="19"/>
  <c r="B30" i="19"/>
  <c r="B31" i="19"/>
  <c r="B32" i="19"/>
  <c r="B33" i="19"/>
  <c r="B34" i="19"/>
  <c r="B35" i="19"/>
  <c r="B36" i="19"/>
  <c r="B37" i="19"/>
  <c r="B38" i="19"/>
  <c r="B39" i="19"/>
  <c r="B40" i="19"/>
  <c r="B41" i="19"/>
  <c r="B42" i="19"/>
  <c r="B43" i="19"/>
  <c r="B44" i="19"/>
  <c r="B45" i="19"/>
  <c r="B46" i="19"/>
  <c r="B47" i="19"/>
  <c r="B48" i="19"/>
  <c r="B49" i="19"/>
  <c r="B50" i="19"/>
  <c r="B51" i="19"/>
  <c r="B52" i="19"/>
  <c r="B53" i="19"/>
  <c r="B54" i="19"/>
  <c r="B55" i="19"/>
  <c r="B56" i="19"/>
  <c r="B57" i="19"/>
  <c r="B58" i="19"/>
  <c r="D57" i="19"/>
  <c r="D58" i="19"/>
  <c r="D10" i="19"/>
  <c r="D11" i="19"/>
  <c r="D12" i="19"/>
  <c r="D13" i="19"/>
  <c r="D14" i="19"/>
  <c r="D15" i="19"/>
  <c r="D16" i="19"/>
  <c r="D17" i="19"/>
  <c r="D18" i="19"/>
  <c r="D19" i="19"/>
  <c r="D20" i="19"/>
  <c r="D21" i="19"/>
  <c r="D22" i="19"/>
  <c r="D23" i="19"/>
  <c r="D24" i="19"/>
  <c r="D25" i="19"/>
  <c r="D26" i="19"/>
  <c r="D27" i="19"/>
  <c r="D28" i="19"/>
  <c r="D29" i="19"/>
  <c r="D30" i="19"/>
  <c r="D31" i="19"/>
  <c r="D32" i="19"/>
  <c r="D33" i="19"/>
  <c r="D34" i="19"/>
  <c r="D35" i="19"/>
  <c r="D36" i="19"/>
  <c r="D37" i="19"/>
  <c r="D38" i="19"/>
  <c r="D39" i="19"/>
  <c r="D40" i="19"/>
  <c r="D41" i="19"/>
  <c r="D42" i="19"/>
  <c r="D43" i="19"/>
  <c r="D44" i="19"/>
  <c r="D45" i="19"/>
  <c r="D46" i="19"/>
  <c r="D47" i="19"/>
  <c r="D48" i="19"/>
  <c r="D49" i="19"/>
  <c r="D50" i="19"/>
  <c r="D51" i="19"/>
  <c r="D52" i="19"/>
  <c r="D53" i="19"/>
  <c r="D54" i="19"/>
  <c r="D55" i="19"/>
  <c r="D56" i="19"/>
  <c r="D9" i="19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9" i="6"/>
  <c r="D10" i="35"/>
  <c r="D11" i="35"/>
  <c r="D12" i="35"/>
  <c r="D13" i="35"/>
  <c r="D14" i="35"/>
  <c r="D15" i="35"/>
  <c r="D16" i="35"/>
  <c r="D17" i="35"/>
  <c r="D18" i="35"/>
  <c r="D19" i="35"/>
  <c r="D20" i="35"/>
  <c r="D21" i="35"/>
  <c r="D22" i="35"/>
  <c r="D23" i="35"/>
  <c r="D24" i="35"/>
  <c r="D25" i="35"/>
  <c r="D26" i="35"/>
  <c r="D27" i="35"/>
  <c r="D28" i="35"/>
  <c r="D29" i="35"/>
  <c r="D30" i="35"/>
  <c r="D31" i="35"/>
  <c r="D32" i="35"/>
  <c r="D33" i="35"/>
  <c r="D34" i="35"/>
  <c r="D35" i="35"/>
  <c r="D36" i="35"/>
  <c r="D37" i="35"/>
  <c r="D38" i="35"/>
  <c r="D39" i="35"/>
  <c r="D40" i="35"/>
  <c r="D41" i="35"/>
  <c r="D42" i="35"/>
  <c r="D43" i="35"/>
  <c r="D44" i="35"/>
  <c r="D45" i="35"/>
  <c r="D46" i="35"/>
  <c r="D47" i="35"/>
  <c r="D48" i="35"/>
  <c r="D49" i="35"/>
  <c r="D50" i="35"/>
  <c r="D51" i="35"/>
  <c r="D52" i="35"/>
  <c r="D53" i="35"/>
  <c r="D54" i="35"/>
  <c r="D55" i="35"/>
  <c r="D56" i="35"/>
  <c r="D57" i="35"/>
  <c r="D58" i="35"/>
  <c r="D9" i="35"/>
  <c r="B10" i="35"/>
  <c r="B11" i="35"/>
  <c r="B12" i="35"/>
  <c r="B13" i="35"/>
  <c r="B14" i="35"/>
  <c r="B15" i="35"/>
  <c r="B16" i="35"/>
  <c r="B17" i="35"/>
  <c r="B18" i="35"/>
  <c r="B19" i="35"/>
  <c r="B20" i="35"/>
  <c r="B21" i="35"/>
  <c r="B22" i="35"/>
  <c r="B23" i="35"/>
  <c r="B24" i="35"/>
  <c r="B25" i="35"/>
  <c r="B26" i="35"/>
  <c r="B27" i="35"/>
  <c r="B28" i="35"/>
  <c r="B29" i="35"/>
  <c r="B30" i="35"/>
  <c r="B31" i="35"/>
  <c r="B32" i="35"/>
  <c r="B33" i="35"/>
  <c r="B34" i="35"/>
  <c r="B35" i="35"/>
  <c r="B36" i="35"/>
  <c r="B37" i="35"/>
  <c r="B38" i="35"/>
  <c r="B39" i="35"/>
  <c r="B40" i="35"/>
  <c r="B41" i="35"/>
  <c r="B42" i="35"/>
  <c r="B43" i="35"/>
  <c r="B44" i="35"/>
  <c r="B45" i="35"/>
  <c r="B46" i="35"/>
  <c r="B47" i="35"/>
  <c r="B48" i="35"/>
  <c r="B49" i="35"/>
  <c r="B50" i="35"/>
  <c r="B51" i="35"/>
  <c r="B52" i="35"/>
  <c r="B53" i="35"/>
  <c r="B54" i="35"/>
  <c r="B55" i="35"/>
  <c r="B56" i="35"/>
  <c r="B57" i="35"/>
  <c r="B58" i="35"/>
  <c r="E10" i="19"/>
  <c r="E11" i="19"/>
  <c r="E12" i="19"/>
  <c r="E13" i="19"/>
  <c r="E14" i="19"/>
  <c r="E15" i="19"/>
  <c r="E16" i="19"/>
  <c r="E17" i="19"/>
  <c r="E18" i="19"/>
  <c r="E19" i="19"/>
  <c r="E20" i="19"/>
  <c r="E21" i="19"/>
  <c r="E22" i="19"/>
  <c r="E23" i="19"/>
  <c r="E24" i="19"/>
  <c r="E25" i="19"/>
  <c r="E26" i="19"/>
  <c r="E27" i="19"/>
  <c r="E28" i="19"/>
  <c r="E29" i="19"/>
  <c r="E30" i="19"/>
  <c r="E31" i="19"/>
  <c r="E32" i="19"/>
  <c r="E33" i="19"/>
  <c r="E34" i="19"/>
  <c r="E35" i="19"/>
  <c r="E36" i="19"/>
  <c r="E37" i="19"/>
  <c r="E38" i="19"/>
  <c r="E39" i="19"/>
  <c r="E40" i="19"/>
  <c r="E41" i="19"/>
  <c r="E42" i="19"/>
  <c r="E43" i="19"/>
  <c r="E44" i="19"/>
  <c r="E45" i="19"/>
  <c r="E46" i="19"/>
  <c r="E47" i="19"/>
  <c r="E48" i="19"/>
  <c r="E49" i="19"/>
  <c r="E50" i="19"/>
  <c r="E51" i="19"/>
  <c r="E52" i="19"/>
  <c r="E53" i="19"/>
  <c r="E54" i="19"/>
  <c r="E55" i="19"/>
  <c r="E56" i="19"/>
  <c r="E57" i="19"/>
  <c r="E58" i="19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57" i="6"/>
  <c r="E58" i="6"/>
  <c r="J256" i="31"/>
  <c r="I256" i="31"/>
  <c r="N255" i="31"/>
  <c r="M255" i="31"/>
  <c r="J255" i="31"/>
  <c r="I255" i="31"/>
  <c r="N254" i="31"/>
  <c r="M254" i="31"/>
  <c r="J254" i="31"/>
  <c r="I254" i="31"/>
  <c r="N253" i="31"/>
  <c r="M253" i="31"/>
  <c r="J253" i="31"/>
  <c r="I253" i="31"/>
  <c r="N252" i="31"/>
  <c r="M252" i="31"/>
  <c r="J252" i="31"/>
  <c r="I252" i="31"/>
  <c r="N251" i="31"/>
  <c r="M251" i="31"/>
  <c r="J251" i="31"/>
  <c r="I251" i="31"/>
  <c r="N250" i="31"/>
  <c r="M250" i="31"/>
  <c r="J250" i="31"/>
  <c r="I250" i="31"/>
  <c r="N247" i="31"/>
  <c r="M247" i="31"/>
  <c r="J247" i="31"/>
  <c r="I247" i="31"/>
  <c r="N246" i="31"/>
  <c r="M246" i="31"/>
  <c r="J246" i="31"/>
  <c r="I246" i="31"/>
  <c r="N245" i="31"/>
  <c r="M245" i="31"/>
  <c r="J245" i="31"/>
  <c r="I245" i="31"/>
  <c r="N244" i="31"/>
  <c r="M244" i="31"/>
  <c r="J244" i="31"/>
  <c r="I244" i="31"/>
  <c r="N243" i="31"/>
  <c r="M243" i="31"/>
  <c r="J243" i="31"/>
  <c r="I243" i="31"/>
  <c r="N242" i="31"/>
  <c r="M242" i="31"/>
  <c r="J242" i="31"/>
  <c r="I242" i="31"/>
  <c r="A19" i="17"/>
  <c r="A20" i="17"/>
  <c r="A21" i="17"/>
  <c r="A22" i="17"/>
  <c r="A23" i="17"/>
  <c r="A24" i="17"/>
  <c r="A26" i="17"/>
  <c r="A28" i="17"/>
  <c r="A30" i="17"/>
  <c r="A32" i="17"/>
  <c r="A34" i="17"/>
  <c r="A36" i="17"/>
  <c r="A38" i="17"/>
  <c r="A40" i="17"/>
  <c r="A42" i="17"/>
  <c r="A44" i="17"/>
  <c r="A46" i="17"/>
  <c r="A48" i="17"/>
  <c r="A50" i="17"/>
  <c r="A52" i="17"/>
  <c r="A54" i="17"/>
  <c r="A56" i="17"/>
  <c r="A58" i="17"/>
  <c r="A60" i="17"/>
  <c r="A62" i="17"/>
  <c r="A64" i="17"/>
  <c r="A66" i="17"/>
  <c r="A68" i="17"/>
  <c r="A70" i="17"/>
  <c r="B17" i="17"/>
  <c r="C17" i="17"/>
  <c r="D17" i="17"/>
  <c r="E17" i="17"/>
  <c r="F17" i="17"/>
  <c r="G17" i="17"/>
  <c r="H17" i="17"/>
  <c r="I17" i="17"/>
  <c r="J17" i="17"/>
  <c r="K17" i="17"/>
  <c r="L17" i="17"/>
  <c r="M17" i="17"/>
  <c r="N17" i="17"/>
  <c r="O17" i="17"/>
  <c r="P17" i="17"/>
  <c r="Q17" i="17"/>
  <c r="R17" i="17"/>
  <c r="S17" i="17"/>
  <c r="T17" i="17"/>
  <c r="U17" i="17"/>
  <c r="V17" i="17"/>
  <c r="I71" i="10"/>
  <c r="I72" i="10"/>
  <c r="I73" i="10"/>
  <c r="I74" i="10"/>
  <c r="I77" i="10"/>
  <c r="I78" i="10"/>
  <c r="I79" i="10"/>
  <c r="I80" i="10"/>
  <c r="I98" i="10"/>
  <c r="H98" i="10"/>
  <c r="I97" i="10"/>
  <c r="H97" i="10"/>
  <c r="I96" i="10"/>
  <c r="H96" i="10"/>
  <c r="I95" i="10"/>
  <c r="H95" i="10"/>
  <c r="I92" i="10"/>
  <c r="H92" i="10"/>
  <c r="I91" i="10"/>
  <c r="H91" i="10"/>
  <c r="I90" i="10"/>
  <c r="H90" i="10"/>
  <c r="I89" i="10"/>
  <c r="H89" i="10"/>
  <c r="B89" i="22"/>
  <c r="J89" i="22"/>
  <c r="B90" i="22"/>
  <c r="J90" i="22"/>
  <c r="B91" i="22"/>
  <c r="J91" i="22"/>
  <c r="B92" i="22"/>
  <c r="J92" i="22"/>
  <c r="B93" i="22"/>
  <c r="J93" i="22"/>
  <c r="B94" i="22"/>
  <c r="J94" i="22"/>
  <c r="B95" i="22"/>
  <c r="J95" i="22"/>
  <c r="B96" i="22"/>
  <c r="J96" i="22"/>
  <c r="B97" i="22"/>
  <c r="J97" i="22"/>
  <c r="B98" i="22"/>
  <c r="J98" i="22"/>
  <c r="B99" i="22"/>
  <c r="J99" i="22"/>
  <c r="B100" i="22"/>
  <c r="J100" i="22"/>
  <c r="B101" i="22"/>
  <c r="J101" i="22"/>
  <c r="B102" i="22"/>
  <c r="J102" i="22"/>
  <c r="B103" i="22"/>
  <c r="J103" i="22"/>
  <c r="A78" i="22"/>
  <c r="A79" i="22"/>
  <c r="A80" i="22"/>
  <c r="A81" i="22"/>
  <c r="A82" i="22"/>
  <c r="A83" i="22"/>
  <c r="A84" i="22"/>
  <c r="A85" i="22"/>
  <c r="A86" i="22"/>
  <c r="A87" i="22"/>
  <c r="A88" i="22"/>
  <c r="A89" i="22"/>
  <c r="A90" i="22"/>
  <c r="A91" i="22"/>
  <c r="A92" i="22"/>
  <c r="A93" i="22"/>
  <c r="A94" i="22"/>
  <c r="A95" i="22"/>
  <c r="A96" i="22"/>
  <c r="A97" i="22"/>
  <c r="A98" i="22"/>
  <c r="A99" i="22"/>
  <c r="A100" i="22"/>
  <c r="A101" i="22"/>
  <c r="A102" i="22"/>
  <c r="A103" i="22"/>
  <c r="A77" i="22"/>
  <c r="B78" i="22"/>
  <c r="B79" i="22"/>
  <c r="B80" i="22"/>
  <c r="B81" i="22"/>
  <c r="B82" i="22"/>
  <c r="B83" i="22"/>
  <c r="B84" i="22"/>
  <c r="B85" i="22"/>
  <c r="B86" i="22"/>
  <c r="B87" i="22"/>
  <c r="B88" i="22"/>
  <c r="B77" i="22"/>
  <c r="K77" i="22"/>
  <c r="K320" i="22"/>
  <c r="K317" i="22"/>
  <c r="J118" i="36"/>
  <c r="A119" i="36"/>
  <c r="A118" i="36"/>
  <c r="L84" i="36"/>
  <c r="L85" i="36"/>
  <c r="L86" i="36"/>
  <c r="L87" i="36"/>
  <c r="L88" i="36"/>
  <c r="L89" i="36"/>
  <c r="L90" i="36"/>
  <c r="L91" i="36"/>
  <c r="L92" i="36"/>
  <c r="L93" i="36"/>
  <c r="L94" i="36"/>
  <c r="L95" i="36"/>
  <c r="L96" i="36"/>
  <c r="L97" i="36"/>
  <c r="L98" i="36"/>
  <c r="L99" i="36"/>
  <c r="L100" i="36"/>
  <c r="L101" i="36"/>
  <c r="L102" i="36"/>
  <c r="L103" i="36"/>
  <c r="L104" i="36"/>
  <c r="L105" i="36"/>
  <c r="L106" i="36"/>
  <c r="L107" i="36"/>
  <c r="L108" i="36"/>
  <c r="L109" i="36"/>
  <c r="L110" i="36"/>
  <c r="L111" i="36"/>
  <c r="L112" i="36"/>
  <c r="L113" i="36"/>
  <c r="L114" i="36"/>
  <c r="L115" i="36"/>
  <c r="L116" i="36"/>
  <c r="L117" i="36"/>
  <c r="L118" i="36"/>
  <c r="L119" i="36"/>
  <c r="J84" i="36"/>
  <c r="J85" i="36"/>
  <c r="J86" i="36"/>
  <c r="J87" i="36"/>
  <c r="J88" i="36"/>
  <c r="J89" i="36"/>
  <c r="J90" i="36"/>
  <c r="J91" i="36"/>
  <c r="J92" i="36"/>
  <c r="J93" i="36"/>
  <c r="J94" i="36"/>
  <c r="J95" i="36"/>
  <c r="J96" i="36"/>
  <c r="J97" i="36"/>
  <c r="J98" i="36"/>
  <c r="J99" i="36"/>
  <c r="J100" i="36"/>
  <c r="J101" i="36"/>
  <c r="J102" i="36"/>
  <c r="J103" i="36"/>
  <c r="J104" i="36"/>
  <c r="J105" i="36"/>
  <c r="J106" i="36"/>
  <c r="J107" i="36"/>
  <c r="J108" i="36"/>
  <c r="J109" i="36"/>
  <c r="J110" i="36"/>
  <c r="J111" i="36"/>
  <c r="J112" i="36"/>
  <c r="J113" i="36"/>
  <c r="J114" i="36"/>
  <c r="J115" i="36"/>
  <c r="J116" i="36"/>
  <c r="J117" i="36"/>
  <c r="J119" i="36"/>
  <c r="A84" i="36"/>
  <c r="A85" i="36"/>
  <c r="A86" i="36"/>
  <c r="A87" i="36"/>
  <c r="A88" i="36"/>
  <c r="A89" i="36"/>
  <c r="A90" i="36"/>
  <c r="A91" i="36"/>
  <c r="A92" i="36"/>
  <c r="A93" i="36"/>
  <c r="A94" i="36"/>
  <c r="A95" i="36"/>
  <c r="A96" i="36"/>
  <c r="A97" i="36"/>
  <c r="A98" i="36"/>
  <c r="A99" i="36"/>
  <c r="A100" i="36"/>
  <c r="A101" i="36"/>
  <c r="A102" i="36"/>
  <c r="A103" i="36"/>
  <c r="A104" i="36"/>
  <c r="A105" i="36"/>
  <c r="A106" i="36"/>
  <c r="A107" i="36"/>
  <c r="A108" i="36"/>
  <c r="A109" i="36"/>
  <c r="A110" i="36"/>
  <c r="A111" i="36"/>
  <c r="A112" i="36"/>
  <c r="A113" i="36"/>
  <c r="A114" i="36"/>
  <c r="A115" i="36"/>
  <c r="A116" i="36"/>
  <c r="A117" i="36"/>
  <c r="B84" i="36"/>
  <c r="B85" i="36"/>
  <c r="B86" i="36"/>
  <c r="B87" i="36"/>
  <c r="B88" i="36"/>
  <c r="B89" i="36"/>
  <c r="B90" i="36"/>
  <c r="B91" i="36"/>
  <c r="B92" i="36"/>
  <c r="B93" i="36"/>
  <c r="B94" i="36"/>
  <c r="B95" i="36"/>
  <c r="B96" i="36"/>
  <c r="B97" i="36"/>
  <c r="B98" i="36"/>
  <c r="B99" i="36"/>
  <c r="B100" i="36"/>
  <c r="B101" i="36"/>
  <c r="B102" i="36"/>
  <c r="B103" i="36"/>
  <c r="B104" i="36"/>
  <c r="B105" i="36"/>
  <c r="B106" i="36"/>
  <c r="B107" i="36"/>
  <c r="B108" i="36"/>
  <c r="B109" i="36"/>
  <c r="B110" i="36"/>
  <c r="B111" i="36"/>
  <c r="B112" i="36"/>
  <c r="B113" i="36"/>
  <c r="B114" i="36"/>
  <c r="B115" i="36"/>
  <c r="B116" i="36"/>
  <c r="B117" i="36"/>
  <c r="B118" i="36"/>
  <c r="B119" i="36"/>
  <c r="E19" i="36"/>
  <c r="B208" i="22"/>
  <c r="B209" i="22"/>
  <c r="B210" i="22"/>
  <c r="B211" i="22"/>
  <c r="B212" i="22"/>
  <c r="B213" i="22"/>
  <c r="B214" i="22"/>
  <c r="B215" i="22"/>
  <c r="B216" i="22"/>
  <c r="B217" i="22"/>
  <c r="B218" i="22"/>
  <c r="B219" i="22"/>
  <c r="B220" i="22"/>
  <c r="B221" i="22"/>
  <c r="B222" i="22"/>
  <c r="B223" i="22"/>
  <c r="B224" i="22"/>
  <c r="B225" i="22"/>
  <c r="B226" i="22"/>
  <c r="B227" i="22"/>
  <c r="B228" i="22"/>
  <c r="B229" i="22"/>
  <c r="B230" i="22"/>
  <c r="B205" i="22"/>
  <c r="B206" i="22"/>
  <c r="B207" i="22"/>
  <c r="B204" i="22"/>
  <c r="H389" i="34"/>
  <c r="H390" i="34"/>
  <c r="H391" i="34"/>
  <c r="H392" i="34"/>
  <c r="H393" i="34"/>
  <c r="H394" i="34"/>
  <c r="H395" i="34"/>
  <c r="H396" i="34"/>
  <c r="H397" i="34"/>
  <c r="H398" i="34"/>
  <c r="H399" i="34"/>
  <c r="H400" i="34"/>
  <c r="H401" i="34"/>
  <c r="H402" i="34"/>
  <c r="H403" i="34"/>
  <c r="H404" i="34"/>
  <c r="H405" i="34"/>
  <c r="H406" i="34"/>
  <c r="H407" i="34"/>
  <c r="H408" i="34"/>
  <c r="H409" i="34"/>
  <c r="H410" i="34"/>
  <c r="H411" i="34"/>
  <c r="H412" i="34"/>
  <c r="H413" i="34"/>
  <c r="H414" i="34"/>
  <c r="H415" i="34"/>
  <c r="H416" i="34"/>
  <c r="H417" i="34"/>
  <c r="H418" i="34"/>
  <c r="H419" i="34"/>
  <c r="H420" i="34"/>
  <c r="H421" i="34"/>
  <c r="H422" i="34"/>
  <c r="H423" i="34"/>
  <c r="H424" i="34"/>
  <c r="H425" i="34"/>
  <c r="H426" i="34"/>
  <c r="H427" i="34"/>
  <c r="H428" i="34"/>
  <c r="H429" i="34"/>
  <c r="H430" i="34"/>
  <c r="H431" i="34"/>
  <c r="H432" i="34"/>
  <c r="H433" i="34"/>
  <c r="H434" i="34"/>
  <c r="H435" i="34"/>
  <c r="H436" i="34"/>
  <c r="H437" i="34"/>
  <c r="H438" i="34"/>
  <c r="H439" i="34"/>
  <c r="H440" i="34"/>
  <c r="H441" i="34"/>
  <c r="H442" i="34"/>
  <c r="H443" i="34"/>
  <c r="H444" i="34"/>
  <c r="H445" i="34"/>
  <c r="H446" i="34"/>
  <c r="H447" i="34"/>
  <c r="H448" i="34"/>
  <c r="H449" i="34"/>
  <c r="H450" i="34"/>
  <c r="H451" i="34"/>
  <c r="H452" i="34"/>
  <c r="H453" i="34"/>
  <c r="H454" i="34"/>
  <c r="H455" i="34"/>
  <c r="H456" i="34"/>
  <c r="H457" i="34"/>
  <c r="H458" i="34"/>
  <c r="H459" i="34"/>
  <c r="H460" i="34"/>
  <c r="H461" i="34"/>
  <c r="H462" i="34"/>
  <c r="H463" i="34"/>
  <c r="H464" i="34"/>
  <c r="H465" i="34"/>
  <c r="H466" i="34"/>
  <c r="H467" i="34"/>
  <c r="H468" i="34"/>
  <c r="H469" i="34"/>
  <c r="H470" i="34"/>
  <c r="H471" i="34"/>
  <c r="H472" i="34"/>
  <c r="H473" i="34"/>
  <c r="H474" i="34"/>
  <c r="H475" i="34"/>
  <c r="H476" i="34"/>
  <c r="H477" i="34"/>
  <c r="H478" i="34"/>
  <c r="H479" i="34"/>
  <c r="H480" i="34"/>
  <c r="H481" i="34"/>
  <c r="H482" i="34"/>
  <c r="H483" i="34"/>
  <c r="H484" i="34"/>
  <c r="H485" i="34"/>
  <c r="H486" i="34"/>
  <c r="H487" i="34"/>
  <c r="H488" i="34"/>
  <c r="H489" i="34"/>
  <c r="H490" i="34"/>
  <c r="H491" i="34"/>
  <c r="H492" i="34"/>
  <c r="H493" i="34"/>
  <c r="H494" i="34"/>
  <c r="H495" i="34"/>
  <c r="H496" i="34"/>
  <c r="H497" i="34"/>
  <c r="H498" i="34"/>
  <c r="H499" i="34"/>
  <c r="H500" i="34"/>
  <c r="H501" i="34"/>
  <c r="H502" i="34"/>
  <c r="H503" i="34"/>
  <c r="H504" i="34"/>
  <c r="H505" i="34"/>
  <c r="H506" i="34"/>
  <c r="H507" i="34"/>
  <c r="H508" i="34"/>
  <c r="H509" i="34"/>
  <c r="H510" i="34"/>
  <c r="H511" i="34"/>
  <c r="H512" i="34"/>
  <c r="H513" i="34"/>
  <c r="H514" i="34"/>
  <c r="H515" i="34"/>
  <c r="H516" i="34"/>
  <c r="H517" i="34"/>
  <c r="H518" i="34"/>
  <c r="H519" i="34"/>
  <c r="H520" i="34"/>
  <c r="H521" i="34"/>
  <c r="H522" i="34"/>
  <c r="H523" i="34"/>
  <c r="H524" i="34"/>
  <c r="H525" i="34"/>
  <c r="H526" i="34"/>
  <c r="H527" i="34"/>
  <c r="H528" i="34"/>
  <c r="H529" i="34"/>
  <c r="H530" i="34"/>
  <c r="H531" i="34"/>
  <c r="H532" i="34"/>
  <c r="H533" i="34"/>
  <c r="H534" i="34"/>
  <c r="H535" i="34"/>
  <c r="H536" i="34"/>
  <c r="H537" i="34"/>
  <c r="H538" i="34"/>
  <c r="H539" i="34"/>
  <c r="H540" i="34"/>
  <c r="H541" i="34"/>
  <c r="H542" i="34"/>
  <c r="H543" i="34"/>
  <c r="H544" i="34"/>
  <c r="H545" i="34"/>
  <c r="H546" i="34"/>
  <c r="H547" i="34"/>
  <c r="H548" i="34"/>
  <c r="H549" i="34"/>
  <c r="H550" i="34"/>
  <c r="H551" i="34"/>
  <c r="H552" i="34"/>
  <c r="H553" i="34"/>
  <c r="H554" i="34"/>
  <c r="H555" i="34"/>
  <c r="H556" i="34"/>
  <c r="H557" i="34"/>
  <c r="H558" i="34"/>
  <c r="H559" i="34"/>
  <c r="H560" i="34"/>
  <c r="H561" i="34"/>
  <c r="H562" i="34"/>
  <c r="H563" i="34"/>
  <c r="H564" i="34"/>
  <c r="H565" i="34"/>
  <c r="H566" i="34"/>
  <c r="H567" i="34"/>
  <c r="H568" i="34"/>
  <c r="H569" i="34"/>
  <c r="H570" i="34"/>
  <c r="H571" i="34"/>
  <c r="H572" i="34"/>
  <c r="H573" i="34"/>
  <c r="K103" i="22"/>
  <c r="L103" i="22"/>
  <c r="K95" i="22"/>
  <c r="L95" i="22"/>
  <c r="K99" i="22"/>
  <c r="L99" i="22"/>
  <c r="K91" i="22"/>
  <c r="L91" i="22"/>
  <c r="J77" i="22"/>
  <c r="K101" i="22"/>
  <c r="L101" i="22"/>
  <c r="K97" i="22"/>
  <c r="L97" i="22"/>
  <c r="K93" i="22"/>
  <c r="L93" i="22"/>
  <c r="K89" i="22"/>
  <c r="L89" i="22"/>
  <c r="K102" i="22"/>
  <c r="L102" i="22"/>
  <c r="K100" i="22"/>
  <c r="L100" i="22"/>
  <c r="K98" i="22"/>
  <c r="L98" i="22"/>
  <c r="K96" i="22"/>
  <c r="L96" i="22"/>
  <c r="K94" i="22"/>
  <c r="L94" i="22"/>
  <c r="K92" i="22"/>
  <c r="L92" i="22"/>
  <c r="K90" i="22"/>
  <c r="L90" i="22"/>
  <c r="N179" i="31"/>
  <c r="M179" i="31"/>
  <c r="J179" i="31"/>
  <c r="I179" i="31"/>
  <c r="J168" i="31"/>
  <c r="I168" i="31"/>
  <c r="L34" i="37"/>
  <c r="M34" i="37"/>
  <c r="N34" i="37"/>
  <c r="O34" i="37"/>
  <c r="P34" i="37"/>
  <c r="M35" i="37"/>
  <c r="N35" i="37"/>
  <c r="O35" i="37"/>
  <c r="P35" i="37"/>
  <c r="L35" i="37"/>
  <c r="M36" i="37"/>
  <c r="N36" i="37"/>
  <c r="O36" i="37"/>
  <c r="P36" i="37"/>
  <c r="M37" i="37"/>
  <c r="N37" i="37"/>
  <c r="O37" i="37"/>
  <c r="P37" i="37"/>
  <c r="L37" i="37"/>
  <c r="M38" i="37"/>
  <c r="N38" i="37"/>
  <c r="O38" i="37"/>
  <c r="P38" i="37"/>
  <c r="K38" i="37"/>
  <c r="M39" i="37"/>
  <c r="N39" i="37"/>
  <c r="O39" i="37"/>
  <c r="P39" i="37"/>
  <c r="L39" i="37"/>
  <c r="M40" i="37"/>
  <c r="N40" i="37"/>
  <c r="O40" i="37"/>
  <c r="P40" i="37"/>
  <c r="K40" i="37"/>
  <c r="M41" i="37"/>
  <c r="N41" i="37"/>
  <c r="O41" i="37"/>
  <c r="P41" i="37"/>
  <c r="L41" i="37"/>
  <c r="M42" i="37"/>
  <c r="N42" i="37"/>
  <c r="O42" i="37"/>
  <c r="P42" i="37"/>
  <c r="K42" i="37"/>
  <c r="M43" i="37"/>
  <c r="N43" i="37"/>
  <c r="O43" i="37"/>
  <c r="P43" i="37"/>
  <c r="L43" i="37"/>
  <c r="M44" i="37"/>
  <c r="N44" i="37"/>
  <c r="O44" i="37"/>
  <c r="P44" i="37"/>
  <c r="K44" i="37"/>
  <c r="M45" i="37"/>
  <c r="N45" i="37"/>
  <c r="O45" i="37"/>
  <c r="P45" i="37"/>
  <c r="L45" i="37"/>
  <c r="M46" i="37"/>
  <c r="N46" i="37"/>
  <c r="O46" i="37"/>
  <c r="P46" i="37"/>
  <c r="K46" i="37"/>
  <c r="M47" i="37"/>
  <c r="N47" i="37"/>
  <c r="O47" i="37"/>
  <c r="P47" i="37"/>
  <c r="L47" i="37"/>
  <c r="M48" i="37"/>
  <c r="N48" i="37"/>
  <c r="O48" i="37"/>
  <c r="P48" i="37"/>
  <c r="K48" i="37"/>
  <c r="M49" i="37"/>
  <c r="N49" i="37"/>
  <c r="O49" i="37"/>
  <c r="P49" i="37"/>
  <c r="L49" i="37"/>
  <c r="M50" i="37"/>
  <c r="N50" i="37"/>
  <c r="O50" i="37"/>
  <c r="P50" i="37"/>
  <c r="K50" i="37"/>
  <c r="M51" i="37"/>
  <c r="N51" i="37"/>
  <c r="O51" i="37"/>
  <c r="P51" i="37"/>
  <c r="L51" i="37"/>
  <c r="M52" i="37"/>
  <c r="N52" i="37"/>
  <c r="O52" i="37"/>
  <c r="P52" i="37"/>
  <c r="K52" i="37"/>
  <c r="M53" i="37"/>
  <c r="N53" i="37"/>
  <c r="O53" i="37"/>
  <c r="P53" i="37"/>
  <c r="L53" i="37"/>
  <c r="M54" i="37"/>
  <c r="N54" i="37"/>
  <c r="O54" i="37"/>
  <c r="P54" i="37"/>
  <c r="K54" i="37"/>
  <c r="M55" i="37"/>
  <c r="N55" i="37"/>
  <c r="O55" i="37"/>
  <c r="P55" i="37"/>
  <c r="L55" i="37"/>
  <c r="M56" i="37"/>
  <c r="N56" i="37"/>
  <c r="O56" i="37"/>
  <c r="P56" i="37"/>
  <c r="K56" i="37"/>
  <c r="M57" i="37"/>
  <c r="N57" i="37"/>
  <c r="O57" i="37"/>
  <c r="P57" i="37"/>
  <c r="M58" i="37"/>
  <c r="N58" i="37"/>
  <c r="O58" i="37"/>
  <c r="P58" i="37"/>
  <c r="L58" i="37"/>
  <c r="M59" i="37"/>
  <c r="N59" i="37"/>
  <c r="O59" i="37"/>
  <c r="P59" i="37"/>
  <c r="L59" i="37"/>
  <c r="M60" i="37"/>
  <c r="N60" i="37"/>
  <c r="O60" i="37"/>
  <c r="P60" i="37"/>
  <c r="M61" i="37"/>
  <c r="N61" i="37"/>
  <c r="O61" i="37"/>
  <c r="P61" i="37"/>
  <c r="M62" i="37"/>
  <c r="N62" i="37"/>
  <c r="O62" i="37"/>
  <c r="P62" i="37"/>
  <c r="M63" i="37"/>
  <c r="N63" i="37"/>
  <c r="O63" i="37"/>
  <c r="P63" i="37"/>
  <c r="M64" i="37"/>
  <c r="N64" i="37"/>
  <c r="O64" i="37"/>
  <c r="P64" i="37"/>
  <c r="M65" i="37"/>
  <c r="N65" i="37"/>
  <c r="O65" i="37"/>
  <c r="P65" i="37"/>
  <c r="M66" i="37"/>
  <c r="N66" i="37"/>
  <c r="O66" i="37"/>
  <c r="P66" i="37"/>
  <c r="M67" i="37"/>
  <c r="N67" i="37"/>
  <c r="O67" i="37"/>
  <c r="P67" i="37"/>
  <c r="M68" i="37"/>
  <c r="N68" i="37"/>
  <c r="O68" i="37"/>
  <c r="P68" i="37"/>
  <c r="M69" i="37"/>
  <c r="N69" i="37"/>
  <c r="O69" i="37"/>
  <c r="P69" i="37"/>
  <c r="M70" i="37"/>
  <c r="N70" i="37"/>
  <c r="O70" i="37"/>
  <c r="P70" i="37"/>
  <c r="M71" i="37"/>
  <c r="N71" i="37"/>
  <c r="O71" i="37"/>
  <c r="P71" i="37"/>
  <c r="M72" i="37"/>
  <c r="N72" i="37"/>
  <c r="O72" i="37"/>
  <c r="P72" i="37"/>
  <c r="M73" i="37"/>
  <c r="N73" i="37"/>
  <c r="O73" i="37"/>
  <c r="P73" i="37"/>
  <c r="M74" i="37"/>
  <c r="N74" i="37"/>
  <c r="O74" i="37"/>
  <c r="P74" i="37"/>
  <c r="M75" i="37"/>
  <c r="N75" i="37"/>
  <c r="O75" i="37"/>
  <c r="P75" i="37"/>
  <c r="M76" i="37"/>
  <c r="N76" i="37"/>
  <c r="O76" i="37"/>
  <c r="P76" i="37"/>
  <c r="M77" i="37"/>
  <c r="N77" i="37"/>
  <c r="O77" i="37"/>
  <c r="P77" i="37"/>
  <c r="M78" i="37"/>
  <c r="N78" i="37"/>
  <c r="O78" i="37"/>
  <c r="P78" i="37"/>
  <c r="M79" i="37"/>
  <c r="N79" i="37"/>
  <c r="O79" i="37"/>
  <c r="P79" i="37"/>
  <c r="M80" i="37"/>
  <c r="N80" i="37"/>
  <c r="O80" i="37"/>
  <c r="P80" i="37"/>
  <c r="L80" i="37"/>
  <c r="M81" i="37"/>
  <c r="N81" i="37"/>
  <c r="O81" i="37"/>
  <c r="P81" i="37"/>
  <c r="M82" i="37"/>
  <c r="N82" i="37"/>
  <c r="O82" i="37"/>
  <c r="P82" i="37"/>
  <c r="L82" i="37"/>
  <c r="M33" i="37"/>
  <c r="N33" i="37"/>
  <c r="O33" i="37"/>
  <c r="P33" i="37"/>
  <c r="L33" i="37"/>
  <c r="L84" i="37"/>
  <c r="K84" i="37"/>
  <c r="L83" i="37"/>
  <c r="K83" i="37"/>
  <c r="N84" i="37"/>
  <c r="M84" i="37"/>
  <c r="N83" i="37"/>
  <c r="M83" i="37"/>
  <c r="F33" i="37"/>
  <c r="H33" i="37"/>
  <c r="H34" i="37"/>
  <c r="H35" i="37"/>
  <c r="H36" i="37"/>
  <c r="H37" i="37"/>
  <c r="H38" i="37"/>
  <c r="H39" i="37"/>
  <c r="H40" i="37"/>
  <c r="H41" i="37"/>
  <c r="H42" i="37"/>
  <c r="H43" i="37"/>
  <c r="H44" i="37"/>
  <c r="H45" i="37"/>
  <c r="H46" i="37"/>
  <c r="H47" i="37"/>
  <c r="H48" i="37"/>
  <c r="H49" i="37"/>
  <c r="H50" i="37"/>
  <c r="H51" i="37"/>
  <c r="H52" i="37"/>
  <c r="H53" i="37"/>
  <c r="H54" i="37"/>
  <c r="H55" i="37"/>
  <c r="H56" i="37"/>
  <c r="H57" i="37"/>
  <c r="H58" i="37"/>
  <c r="H59" i="37"/>
  <c r="H60" i="37"/>
  <c r="H61" i="37"/>
  <c r="H62" i="37"/>
  <c r="H63" i="37"/>
  <c r="H64" i="37"/>
  <c r="H65" i="37"/>
  <c r="H66" i="37"/>
  <c r="H67" i="37"/>
  <c r="H68" i="37"/>
  <c r="H69" i="37"/>
  <c r="H70" i="37"/>
  <c r="H71" i="37"/>
  <c r="H72" i="37"/>
  <c r="H73" i="37"/>
  <c r="H74" i="37"/>
  <c r="H75" i="37"/>
  <c r="H76" i="37"/>
  <c r="H77" i="37"/>
  <c r="H78" i="37"/>
  <c r="H79" i="37"/>
  <c r="H80" i="37"/>
  <c r="H81" i="37"/>
  <c r="H82" i="37"/>
  <c r="F34" i="37"/>
  <c r="F35" i="37"/>
  <c r="F36" i="37"/>
  <c r="F37" i="37"/>
  <c r="F38" i="37"/>
  <c r="F39" i="37"/>
  <c r="F40" i="37"/>
  <c r="F41" i="37"/>
  <c r="F42" i="37"/>
  <c r="F43" i="37"/>
  <c r="F44" i="37"/>
  <c r="F45" i="37"/>
  <c r="F46" i="37"/>
  <c r="F47" i="37"/>
  <c r="F48" i="37"/>
  <c r="F49" i="37"/>
  <c r="F50" i="37"/>
  <c r="F51" i="37"/>
  <c r="F52" i="37"/>
  <c r="F53" i="37"/>
  <c r="F54" i="37"/>
  <c r="F55" i="37"/>
  <c r="F56" i="37"/>
  <c r="F57" i="37"/>
  <c r="A58" i="37"/>
  <c r="F58" i="37"/>
  <c r="F59" i="37"/>
  <c r="F60" i="37"/>
  <c r="F61" i="37"/>
  <c r="F62" i="37"/>
  <c r="F63" i="37"/>
  <c r="F64" i="37"/>
  <c r="F65" i="37"/>
  <c r="F66" i="37"/>
  <c r="F67" i="37"/>
  <c r="F68" i="37"/>
  <c r="F69" i="37"/>
  <c r="F70" i="37"/>
  <c r="F71" i="37"/>
  <c r="F72" i="37"/>
  <c r="F73" i="37"/>
  <c r="F74" i="37"/>
  <c r="F75" i="37"/>
  <c r="F76" i="37"/>
  <c r="F77" i="37"/>
  <c r="F78" i="37"/>
  <c r="F79" i="37"/>
  <c r="F80" i="37"/>
  <c r="F81" i="37"/>
  <c r="F82" i="37"/>
  <c r="K36" i="37"/>
  <c r="A59" i="37"/>
  <c r="A60" i="37"/>
  <c r="A61" i="37"/>
  <c r="A62" i="37"/>
  <c r="A63" i="37"/>
  <c r="A64" i="37"/>
  <c r="A65" i="37"/>
  <c r="A66" i="37"/>
  <c r="A67" i="37"/>
  <c r="A68" i="37"/>
  <c r="A69" i="37"/>
  <c r="A70" i="37"/>
  <c r="A71" i="37"/>
  <c r="A72" i="37"/>
  <c r="A73" i="37"/>
  <c r="A74" i="37"/>
  <c r="A75" i="37"/>
  <c r="A76" i="37"/>
  <c r="A77" i="37"/>
  <c r="A78" i="37"/>
  <c r="A79" i="37"/>
  <c r="A80" i="37"/>
  <c r="A81" i="37"/>
  <c r="A82" i="37"/>
  <c r="K82" i="37"/>
  <c r="K59" i="37"/>
  <c r="K58" i="37"/>
  <c r="J82" i="37"/>
  <c r="J81" i="37"/>
  <c r="J59" i="37"/>
  <c r="J58" i="37"/>
  <c r="I82" i="37"/>
  <c r="I80" i="37"/>
  <c r="I59" i="37"/>
  <c r="I58" i="37"/>
  <c r="K57" i="37"/>
  <c r="J80" i="37"/>
  <c r="J78" i="37"/>
  <c r="J76" i="37"/>
  <c r="J74" i="37"/>
  <c r="J72" i="37"/>
  <c r="J70" i="37"/>
  <c r="J68" i="37"/>
  <c r="J66" i="37"/>
  <c r="J64" i="37"/>
  <c r="J62" i="37"/>
  <c r="J60" i="37"/>
  <c r="I56" i="37"/>
  <c r="I54" i="37"/>
  <c r="I52" i="37"/>
  <c r="I50" i="37"/>
  <c r="I48" i="37"/>
  <c r="I46" i="37"/>
  <c r="I44" i="37"/>
  <c r="I42" i="37"/>
  <c r="I40" i="37"/>
  <c r="I38" i="37"/>
  <c r="I36" i="37"/>
  <c r="J57" i="37"/>
  <c r="L57" i="37"/>
  <c r="L54" i="37"/>
  <c r="L50" i="37"/>
  <c r="L46" i="37"/>
  <c r="L42" i="37"/>
  <c r="L38" i="37"/>
  <c r="I57" i="37"/>
  <c r="J56" i="37"/>
  <c r="J55" i="37"/>
  <c r="J54" i="37"/>
  <c r="J53" i="37"/>
  <c r="J52" i="37"/>
  <c r="J51" i="37"/>
  <c r="J50" i="37"/>
  <c r="J49" i="37"/>
  <c r="J48" i="37"/>
  <c r="J47" i="37"/>
  <c r="J46" i="37"/>
  <c r="J45" i="37"/>
  <c r="J44" i="37"/>
  <c r="J43" i="37"/>
  <c r="J42" i="37"/>
  <c r="J41" i="37"/>
  <c r="J40" i="37"/>
  <c r="J39" i="37"/>
  <c r="J38" i="37"/>
  <c r="J37" i="37"/>
  <c r="J36" i="37"/>
  <c r="J35" i="37"/>
  <c r="L56" i="37"/>
  <c r="L52" i="37"/>
  <c r="L48" i="37"/>
  <c r="L44" i="37"/>
  <c r="L40" i="37"/>
  <c r="L36" i="37"/>
  <c r="K81" i="37"/>
  <c r="L81" i="37"/>
  <c r="I81" i="37"/>
  <c r="K79" i="37"/>
  <c r="L79" i="37"/>
  <c r="J79" i="37"/>
  <c r="I79" i="37"/>
  <c r="L78" i="37"/>
  <c r="K78" i="37"/>
  <c r="I78" i="37"/>
  <c r="K77" i="37"/>
  <c r="L77" i="37"/>
  <c r="J77" i="37"/>
  <c r="I77" i="37"/>
  <c r="L76" i="37"/>
  <c r="K76" i="37"/>
  <c r="I76" i="37"/>
  <c r="K75" i="37"/>
  <c r="L75" i="37"/>
  <c r="J75" i="37"/>
  <c r="I75" i="37"/>
  <c r="L74" i="37"/>
  <c r="K74" i="37"/>
  <c r="I74" i="37"/>
  <c r="K73" i="37"/>
  <c r="L73" i="37"/>
  <c r="J73" i="37"/>
  <c r="I73" i="37"/>
  <c r="L72" i="37"/>
  <c r="K72" i="37"/>
  <c r="I72" i="37"/>
  <c r="K71" i="37"/>
  <c r="L71" i="37"/>
  <c r="J71" i="37"/>
  <c r="I71" i="37"/>
  <c r="L70" i="37"/>
  <c r="K70" i="37"/>
  <c r="I70" i="37"/>
  <c r="K69" i="37"/>
  <c r="L69" i="37"/>
  <c r="J69" i="37"/>
  <c r="I69" i="37"/>
  <c r="L68" i="37"/>
  <c r="K68" i="37"/>
  <c r="I68" i="37"/>
  <c r="K67" i="37"/>
  <c r="L67" i="37"/>
  <c r="J67" i="37"/>
  <c r="I67" i="37"/>
  <c r="L66" i="37"/>
  <c r="K66" i="37"/>
  <c r="I66" i="37"/>
  <c r="K65" i="37"/>
  <c r="L65" i="37"/>
  <c r="J65" i="37"/>
  <c r="I65" i="37"/>
  <c r="L64" i="37"/>
  <c r="K64" i="37"/>
  <c r="I64" i="37"/>
  <c r="K63" i="37"/>
  <c r="L63" i="37"/>
  <c r="J63" i="37"/>
  <c r="I63" i="37"/>
  <c r="L62" i="37"/>
  <c r="K62" i="37"/>
  <c r="I62" i="37"/>
  <c r="K61" i="37"/>
  <c r="L61" i="37"/>
  <c r="J61" i="37"/>
  <c r="I61" i="37"/>
  <c r="L60" i="37"/>
  <c r="K60" i="37"/>
  <c r="I60" i="37"/>
  <c r="K80" i="37"/>
  <c r="I35" i="37"/>
  <c r="K55" i="37"/>
  <c r="I55" i="37"/>
  <c r="K53" i="37"/>
  <c r="I53" i="37"/>
  <c r="K51" i="37"/>
  <c r="I51" i="37"/>
  <c r="K49" i="37"/>
  <c r="I49" i="37"/>
  <c r="K47" i="37"/>
  <c r="I47" i="37"/>
  <c r="K45" i="37"/>
  <c r="I45" i="37"/>
  <c r="K43" i="37"/>
  <c r="I43" i="37"/>
  <c r="K41" i="37"/>
  <c r="I41" i="37"/>
  <c r="K39" i="37"/>
  <c r="I39" i="37"/>
  <c r="K37" i="37"/>
  <c r="I37" i="37"/>
  <c r="K35" i="37"/>
  <c r="K33" i="37"/>
  <c r="J33" i="37"/>
  <c r="I33" i="37"/>
  <c r="J34" i="37"/>
  <c r="K34" i="37"/>
  <c r="I34" i="37"/>
  <c r="O83" i="37"/>
  <c r="J83" i="37"/>
  <c r="O85" i="37"/>
  <c r="O84" i="37"/>
  <c r="P84" i="37"/>
  <c r="P83" i="37"/>
  <c r="O86" i="37"/>
  <c r="DJ32" i="37"/>
  <c r="DI32" i="37"/>
  <c r="DH32" i="37"/>
  <c r="J84" i="37"/>
  <c r="I83" i="37"/>
  <c r="I84" i="37"/>
  <c r="M85" i="37"/>
  <c r="M86" i="37"/>
  <c r="K85" i="37"/>
  <c r="K86" i="37"/>
  <c r="AX71" i="18"/>
  <c r="AW71" i="18"/>
  <c r="AV71" i="18"/>
  <c r="I85" i="37"/>
  <c r="I86" i="37"/>
  <c r="Q44" i="36"/>
  <c r="Q45" i="36"/>
  <c r="Q43" i="36"/>
  <c r="G44" i="36"/>
  <c r="I44" i="36"/>
  <c r="K44" i="36"/>
  <c r="M44" i="36"/>
  <c r="O44" i="36"/>
  <c r="G43" i="36"/>
  <c r="I43" i="36"/>
  <c r="K43" i="36"/>
  <c r="M43" i="36"/>
  <c r="O43" i="36"/>
  <c r="E44" i="36"/>
  <c r="E43" i="36"/>
  <c r="D44" i="36"/>
  <c r="D43" i="36"/>
  <c r="E26" i="36"/>
  <c r="K26" i="36"/>
  <c r="E27" i="36"/>
  <c r="K27" i="36"/>
  <c r="E28" i="36"/>
  <c r="K28" i="36"/>
  <c r="E29" i="36"/>
  <c r="K29" i="36"/>
  <c r="E30" i="36"/>
  <c r="K30" i="36"/>
  <c r="E31" i="36"/>
  <c r="K31" i="36"/>
  <c r="E32" i="36"/>
  <c r="K32" i="36"/>
  <c r="E33" i="36"/>
  <c r="K33" i="36"/>
  <c r="E34" i="36"/>
  <c r="K34" i="36"/>
  <c r="E35" i="36"/>
  <c r="K35" i="36"/>
  <c r="E36" i="36"/>
  <c r="K36" i="36"/>
  <c r="E37" i="36"/>
  <c r="K37" i="36"/>
  <c r="E38" i="36"/>
  <c r="K38" i="36"/>
  <c r="E39" i="36"/>
  <c r="K39" i="36"/>
  <c r="E21" i="36"/>
  <c r="K21" i="36"/>
  <c r="E22" i="36"/>
  <c r="K22" i="36"/>
  <c r="E23" i="36"/>
  <c r="K23" i="36"/>
  <c r="E24" i="36"/>
  <c r="K24" i="36"/>
  <c r="E25" i="36"/>
  <c r="K25" i="36"/>
  <c r="E20" i="36"/>
  <c r="K20" i="36"/>
  <c r="B70" i="36"/>
  <c r="B71" i="36"/>
  <c r="B72" i="36"/>
  <c r="B73" i="36"/>
  <c r="B74" i="36"/>
  <c r="B57" i="36"/>
  <c r="B58" i="36"/>
  <c r="B59" i="36"/>
  <c r="B60" i="36"/>
  <c r="B61" i="36"/>
  <c r="B62" i="36"/>
  <c r="B63" i="36"/>
  <c r="B64" i="36"/>
  <c r="B65" i="36"/>
  <c r="B66" i="36"/>
  <c r="B67" i="36"/>
  <c r="B68" i="36"/>
  <c r="B69" i="36"/>
  <c r="B55" i="36"/>
  <c r="B56" i="36"/>
  <c r="I124" i="36"/>
  <c r="A124" i="36"/>
  <c r="I121" i="36"/>
  <c r="A121" i="36"/>
  <c r="L83" i="36"/>
  <c r="J83" i="36"/>
  <c r="B83" i="36"/>
  <c r="A83" i="36"/>
  <c r="E16" i="36"/>
  <c r="E14" i="36"/>
  <c r="A12" i="36"/>
  <c r="A10" i="36"/>
  <c r="E45" i="36"/>
  <c r="O45" i="36"/>
  <c r="K45" i="36"/>
  <c r="G45" i="36"/>
  <c r="I45" i="36"/>
  <c r="M45" i="36"/>
  <c r="R20" i="23"/>
  <c r="Q20" i="23"/>
  <c r="P20" i="23"/>
  <c r="H64" i="35"/>
  <c r="D62" i="35"/>
  <c r="D61" i="35"/>
  <c r="D60" i="35"/>
  <c r="H58" i="35"/>
  <c r="F58" i="35"/>
  <c r="E58" i="35"/>
  <c r="H57" i="35"/>
  <c r="F57" i="35"/>
  <c r="E57" i="35"/>
  <c r="H56" i="35"/>
  <c r="F56" i="35"/>
  <c r="E56" i="35"/>
  <c r="H55" i="35"/>
  <c r="F55" i="35"/>
  <c r="E55" i="35"/>
  <c r="H54" i="35"/>
  <c r="F54" i="35"/>
  <c r="E54" i="35"/>
  <c r="H53" i="35"/>
  <c r="F53" i="35"/>
  <c r="E53" i="35"/>
  <c r="H52" i="35"/>
  <c r="F52" i="35"/>
  <c r="E52" i="35"/>
  <c r="H51" i="35"/>
  <c r="F51" i="35"/>
  <c r="E51" i="35"/>
  <c r="H50" i="35"/>
  <c r="F50" i="35"/>
  <c r="E50" i="35"/>
  <c r="H49" i="35"/>
  <c r="F49" i="35"/>
  <c r="E49" i="35"/>
  <c r="H48" i="35"/>
  <c r="F48" i="35"/>
  <c r="E48" i="35"/>
  <c r="H47" i="35"/>
  <c r="F47" i="35"/>
  <c r="E47" i="35"/>
  <c r="H46" i="35"/>
  <c r="F46" i="35"/>
  <c r="E46" i="35"/>
  <c r="H45" i="35"/>
  <c r="F45" i="35"/>
  <c r="E45" i="35"/>
  <c r="H44" i="35"/>
  <c r="F44" i="35"/>
  <c r="E44" i="35"/>
  <c r="H43" i="35"/>
  <c r="F43" i="35"/>
  <c r="E43" i="35"/>
  <c r="H42" i="35"/>
  <c r="F42" i="35"/>
  <c r="E42" i="35"/>
  <c r="H41" i="35"/>
  <c r="F41" i="35"/>
  <c r="E41" i="35"/>
  <c r="H40" i="35"/>
  <c r="F40" i="35"/>
  <c r="E40" i="35"/>
  <c r="H39" i="35"/>
  <c r="F39" i="35"/>
  <c r="E39" i="35"/>
  <c r="H38" i="35"/>
  <c r="F38" i="35"/>
  <c r="E38" i="35"/>
  <c r="H37" i="35"/>
  <c r="F37" i="35"/>
  <c r="E37" i="35"/>
  <c r="H36" i="35"/>
  <c r="F36" i="35"/>
  <c r="E36" i="35"/>
  <c r="H35" i="35"/>
  <c r="F35" i="35"/>
  <c r="E35" i="35"/>
  <c r="H34" i="35"/>
  <c r="F34" i="35"/>
  <c r="E34" i="35"/>
  <c r="H33" i="35"/>
  <c r="F33" i="35"/>
  <c r="E33" i="35"/>
  <c r="H32" i="35"/>
  <c r="F32" i="35"/>
  <c r="E32" i="35"/>
  <c r="H31" i="35"/>
  <c r="F31" i="35"/>
  <c r="E31" i="35"/>
  <c r="H30" i="35"/>
  <c r="F30" i="35"/>
  <c r="E30" i="35"/>
  <c r="H29" i="35"/>
  <c r="F29" i="35"/>
  <c r="E29" i="35"/>
  <c r="H28" i="35"/>
  <c r="F28" i="35"/>
  <c r="E28" i="35"/>
  <c r="H27" i="35"/>
  <c r="F27" i="35"/>
  <c r="E27" i="35"/>
  <c r="H26" i="35"/>
  <c r="F26" i="35"/>
  <c r="E26" i="35"/>
  <c r="H25" i="35"/>
  <c r="F25" i="35"/>
  <c r="E25" i="35"/>
  <c r="H24" i="35"/>
  <c r="F24" i="35"/>
  <c r="E24" i="35"/>
  <c r="H23" i="35"/>
  <c r="F23" i="35"/>
  <c r="E23" i="35"/>
  <c r="H22" i="35"/>
  <c r="F22" i="35"/>
  <c r="E22" i="35"/>
  <c r="H21" i="35"/>
  <c r="F21" i="35"/>
  <c r="E21" i="35"/>
  <c r="H20" i="35"/>
  <c r="F20" i="35"/>
  <c r="E20" i="35"/>
  <c r="H19" i="35"/>
  <c r="F19" i="35"/>
  <c r="E19" i="35"/>
  <c r="H18" i="35"/>
  <c r="F18" i="35"/>
  <c r="E18" i="35"/>
  <c r="H17" i="35"/>
  <c r="F17" i="35"/>
  <c r="E17" i="35"/>
  <c r="H16" i="35"/>
  <c r="F16" i="35"/>
  <c r="E16" i="35"/>
  <c r="H15" i="35"/>
  <c r="F15" i="35"/>
  <c r="E15" i="35"/>
  <c r="H14" i="35"/>
  <c r="F14" i="35"/>
  <c r="E14" i="35"/>
  <c r="H13" i="35"/>
  <c r="F13" i="35"/>
  <c r="E13" i="35"/>
  <c r="H12" i="35"/>
  <c r="F12" i="35"/>
  <c r="E12" i="35"/>
  <c r="H11" i="35"/>
  <c r="F11" i="35"/>
  <c r="E11" i="35"/>
  <c r="H10" i="35"/>
  <c r="F10" i="35"/>
  <c r="E10" i="35"/>
  <c r="H9" i="35"/>
  <c r="F9" i="35"/>
  <c r="E9" i="35"/>
  <c r="B9" i="35"/>
  <c r="K6" i="35"/>
  <c r="D6" i="35"/>
  <c r="D5" i="35"/>
  <c r="D4" i="35"/>
  <c r="F22" i="5"/>
  <c r="L425" i="31"/>
  <c r="S417" i="31"/>
  <c r="S418" i="31"/>
  <c r="S419" i="31"/>
  <c r="S420" i="31"/>
  <c r="S421" i="31"/>
  <c r="S422" i="31"/>
  <c r="S423" i="31"/>
  <c r="S424" i="31"/>
  <c r="S416" i="31"/>
  <c r="R418" i="31"/>
  <c r="R419" i="31"/>
  <c r="R420" i="31"/>
  <c r="R421" i="31"/>
  <c r="R422" i="31"/>
  <c r="R423" i="31"/>
  <c r="R424" i="31"/>
  <c r="R425" i="31"/>
  <c r="R416" i="31"/>
  <c r="Q416" i="31"/>
  <c r="R417" i="31"/>
  <c r="Q417" i="31"/>
  <c r="Q418" i="31"/>
  <c r="Q419" i="31"/>
  <c r="Q420" i="31"/>
  <c r="Q421" i="31"/>
  <c r="Q422" i="31"/>
  <c r="Q423" i="31"/>
  <c r="Q424" i="31"/>
  <c r="P417" i="31"/>
  <c r="P418" i="31"/>
  <c r="P419" i="31"/>
  <c r="P420" i="31"/>
  <c r="P421" i="31"/>
  <c r="P422" i="31"/>
  <c r="P423" i="31"/>
  <c r="P424" i="31"/>
  <c r="P416" i="31"/>
  <c r="O416" i="31"/>
  <c r="O425" i="31"/>
  <c r="O426" i="31"/>
  <c r="O417" i="31"/>
  <c r="O418" i="31"/>
  <c r="O419" i="31"/>
  <c r="O420" i="31"/>
  <c r="O421" i="31"/>
  <c r="O422" i="31"/>
  <c r="O423" i="31"/>
  <c r="O424" i="31"/>
  <c r="N417" i="31"/>
  <c r="N418" i="31"/>
  <c r="N419" i="31"/>
  <c r="N420" i="31"/>
  <c r="N421" i="31"/>
  <c r="N416" i="31"/>
  <c r="M417" i="31"/>
  <c r="M418" i="31"/>
  <c r="M419" i="31"/>
  <c r="M420" i="31"/>
  <c r="M421" i="31"/>
  <c r="M422" i="31"/>
  <c r="M423" i="31"/>
  <c r="M424" i="31"/>
  <c r="M425" i="31"/>
  <c r="M416" i="31"/>
  <c r="L417" i="31"/>
  <c r="L418" i="31"/>
  <c r="L419" i="31"/>
  <c r="L420" i="31"/>
  <c r="L421" i="31"/>
  <c r="L422" i="31"/>
  <c r="L423" i="31"/>
  <c r="L424" i="31"/>
  <c r="L416" i="31"/>
  <c r="K417" i="31"/>
  <c r="K418" i="31"/>
  <c r="K419" i="31"/>
  <c r="K420" i="31"/>
  <c r="K421" i="31"/>
  <c r="K422" i="31"/>
  <c r="K423" i="31"/>
  <c r="K424" i="31"/>
  <c r="K425" i="31"/>
  <c r="K416" i="31"/>
  <c r="J417" i="31"/>
  <c r="J418" i="31"/>
  <c r="J419" i="31"/>
  <c r="J420" i="31"/>
  <c r="J421" i="31"/>
  <c r="J422" i="31"/>
  <c r="J423" i="31"/>
  <c r="J424" i="31"/>
  <c r="J425" i="31"/>
  <c r="J416" i="31"/>
  <c r="I417" i="31"/>
  <c r="I418" i="31"/>
  <c r="I419" i="31"/>
  <c r="I420" i="31"/>
  <c r="I421" i="31"/>
  <c r="I422" i="31"/>
  <c r="I423" i="31"/>
  <c r="I424" i="31"/>
  <c r="I425" i="31"/>
  <c r="I416" i="31"/>
  <c r="H417" i="31"/>
  <c r="H418" i="31"/>
  <c r="H419" i="31"/>
  <c r="H420" i="31"/>
  <c r="H421" i="31"/>
  <c r="H422" i="31"/>
  <c r="H423" i="31"/>
  <c r="H424" i="31"/>
  <c r="H425" i="31"/>
  <c r="H416" i="31"/>
  <c r="G417" i="31"/>
  <c r="G418" i="31"/>
  <c r="G419" i="31"/>
  <c r="G420" i="31"/>
  <c r="G421" i="31"/>
  <c r="G422" i="31"/>
  <c r="G423" i="31"/>
  <c r="G424" i="31"/>
  <c r="G425" i="31"/>
  <c r="G416" i="31"/>
  <c r="F417" i="31"/>
  <c r="F418" i="31"/>
  <c r="F419" i="31"/>
  <c r="F420" i="31"/>
  <c r="F421" i="31"/>
  <c r="F422" i="31"/>
  <c r="F423" i="31"/>
  <c r="F424" i="31"/>
  <c r="F425" i="31"/>
  <c r="F416" i="31"/>
  <c r="E398" i="31"/>
  <c r="E399" i="31"/>
  <c r="E400" i="31"/>
  <c r="E401" i="31"/>
  <c r="E402" i="31"/>
  <c r="E403" i="31"/>
  <c r="E404" i="31"/>
  <c r="E405" i="31"/>
  <c r="E397" i="31"/>
  <c r="D398" i="31"/>
  <c r="D399" i="31"/>
  <c r="D400" i="31"/>
  <c r="D401" i="31"/>
  <c r="D402" i="31"/>
  <c r="D403" i="31"/>
  <c r="D404" i="31"/>
  <c r="D405" i="31"/>
  <c r="D397" i="31"/>
  <c r="E417" i="31"/>
  <c r="E418" i="31"/>
  <c r="E419" i="31"/>
  <c r="E420" i="31"/>
  <c r="E421" i="31"/>
  <c r="E422" i="31"/>
  <c r="E423" i="31"/>
  <c r="E424" i="31"/>
  <c r="E425" i="31"/>
  <c r="E416" i="31"/>
  <c r="C417" i="31"/>
  <c r="C418" i="31"/>
  <c r="C419" i="31"/>
  <c r="C420" i="31"/>
  <c r="C421" i="31"/>
  <c r="C422" i="31"/>
  <c r="C423" i="31"/>
  <c r="C424" i="31"/>
  <c r="C416" i="31"/>
  <c r="C398" i="31"/>
  <c r="C399" i="31"/>
  <c r="C400" i="31"/>
  <c r="C401" i="31"/>
  <c r="C402" i="31"/>
  <c r="C403" i="31"/>
  <c r="C404" i="31"/>
  <c r="C405" i="31"/>
  <c r="C397" i="31"/>
  <c r="B417" i="31"/>
  <c r="B418" i="31"/>
  <c r="B419" i="31"/>
  <c r="B420" i="31"/>
  <c r="B421" i="31"/>
  <c r="B422" i="31"/>
  <c r="B423" i="31"/>
  <c r="B424" i="31"/>
  <c r="B416" i="31"/>
  <c r="B398" i="31"/>
  <c r="B399" i="31"/>
  <c r="B400" i="31"/>
  <c r="B401" i="31"/>
  <c r="B402" i="31"/>
  <c r="B403" i="31"/>
  <c r="B404" i="31"/>
  <c r="B405" i="31"/>
  <c r="B397" i="31"/>
  <c r="D417" i="31"/>
  <c r="D418" i="31"/>
  <c r="D419" i="31"/>
  <c r="D420" i="31"/>
  <c r="D421" i="31"/>
  <c r="D416" i="31"/>
  <c r="J48" i="5"/>
  <c r="J49" i="5"/>
  <c r="J50" i="5"/>
  <c r="J51" i="5"/>
  <c r="J52" i="5"/>
  <c r="J53" i="5"/>
  <c r="J54" i="5"/>
  <c r="J55" i="5"/>
  <c r="J56" i="5"/>
  <c r="J57" i="5"/>
  <c r="J58" i="5"/>
  <c r="J59" i="5"/>
  <c r="J60" i="5"/>
  <c r="J61" i="5"/>
  <c r="J62" i="5"/>
  <c r="J63" i="5"/>
  <c r="J64" i="5"/>
  <c r="J65" i="5"/>
  <c r="J66" i="5"/>
  <c r="J67" i="5"/>
  <c r="J68" i="5"/>
  <c r="J69" i="5"/>
  <c r="J70" i="5"/>
  <c r="F21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I21" i="5"/>
  <c r="J21" i="5"/>
  <c r="I22" i="5"/>
  <c r="J22" i="5"/>
  <c r="F23" i="5"/>
  <c r="I23" i="5"/>
  <c r="J23" i="5"/>
  <c r="F24" i="5"/>
  <c r="I24" i="5"/>
  <c r="J24" i="5"/>
  <c r="F25" i="5"/>
  <c r="I25" i="5"/>
  <c r="J25" i="5"/>
  <c r="F26" i="5"/>
  <c r="I26" i="5"/>
  <c r="J26" i="5"/>
  <c r="F27" i="5"/>
  <c r="I27" i="5"/>
  <c r="J27" i="5"/>
  <c r="F28" i="5"/>
  <c r="I28" i="5"/>
  <c r="J28" i="5"/>
  <c r="F29" i="5"/>
  <c r="I29" i="5"/>
  <c r="J29" i="5"/>
  <c r="F30" i="5"/>
  <c r="I30" i="5"/>
  <c r="J30" i="5"/>
  <c r="F31" i="5"/>
  <c r="I31" i="5"/>
  <c r="J31" i="5"/>
  <c r="F32" i="5"/>
  <c r="I32" i="5"/>
  <c r="J32" i="5"/>
  <c r="F33" i="5"/>
  <c r="I33" i="5"/>
  <c r="J33" i="5"/>
  <c r="F34" i="5"/>
  <c r="I34" i="5"/>
  <c r="J34" i="5"/>
  <c r="F35" i="5"/>
  <c r="I35" i="5"/>
  <c r="J35" i="5"/>
  <c r="F36" i="5"/>
  <c r="I36" i="5"/>
  <c r="J36" i="5"/>
  <c r="F37" i="5"/>
  <c r="I37" i="5"/>
  <c r="J37" i="5"/>
  <c r="F38" i="5"/>
  <c r="I38" i="5"/>
  <c r="J38" i="5"/>
  <c r="F39" i="5"/>
  <c r="I39" i="5"/>
  <c r="J39" i="5"/>
  <c r="F40" i="5"/>
  <c r="I40" i="5"/>
  <c r="J40" i="5"/>
  <c r="F41" i="5"/>
  <c r="I41" i="5"/>
  <c r="J41" i="5"/>
  <c r="F42" i="5"/>
  <c r="I42" i="5"/>
  <c r="J42" i="5"/>
  <c r="F43" i="5"/>
  <c r="I43" i="5"/>
  <c r="J43" i="5"/>
  <c r="F44" i="5"/>
  <c r="I44" i="5"/>
  <c r="J44" i="5"/>
  <c r="F45" i="5"/>
  <c r="I45" i="5"/>
  <c r="J45" i="5"/>
  <c r="A46" i="5"/>
  <c r="A47" i="5"/>
  <c r="A48" i="5"/>
  <c r="A49" i="5"/>
  <c r="A50" i="5"/>
  <c r="A51" i="5"/>
  <c r="F46" i="5"/>
  <c r="I46" i="5"/>
  <c r="J46" i="5"/>
  <c r="F47" i="5"/>
  <c r="I47" i="5"/>
  <c r="J47" i="5"/>
  <c r="F48" i="5"/>
  <c r="I48" i="5"/>
  <c r="F49" i="5"/>
  <c r="I49" i="5"/>
  <c r="F50" i="5"/>
  <c r="I50" i="5"/>
  <c r="F51" i="5"/>
  <c r="I51" i="5"/>
  <c r="J71" i="5"/>
  <c r="I71" i="5"/>
  <c r="J72" i="5"/>
  <c r="I109" i="22"/>
  <c r="G111" i="22"/>
  <c r="I111" i="22"/>
  <c r="I110" i="22"/>
  <c r="G110" i="22"/>
  <c r="G109" i="22"/>
  <c r="J78" i="22"/>
  <c r="K78" i="22"/>
  <c r="J79" i="22"/>
  <c r="K79" i="22"/>
  <c r="J80" i="22"/>
  <c r="K80" i="22"/>
  <c r="J81" i="22"/>
  <c r="K81" i="22"/>
  <c r="J82" i="22"/>
  <c r="K82" i="22"/>
  <c r="J83" i="22"/>
  <c r="K83" i="22"/>
  <c r="J84" i="22"/>
  <c r="K84" i="22"/>
  <c r="J85" i="22"/>
  <c r="K85" i="22"/>
  <c r="J86" i="22"/>
  <c r="K86" i="22"/>
  <c r="J87" i="22"/>
  <c r="K87" i="22"/>
  <c r="J88" i="22"/>
  <c r="K88" i="22"/>
  <c r="O70" i="22"/>
  <c r="M70" i="22"/>
  <c r="K70" i="22"/>
  <c r="G69" i="22"/>
  <c r="M69" i="22"/>
  <c r="L66" i="22"/>
  <c r="I66" i="22"/>
  <c r="A53" i="22"/>
  <c r="A52" i="22"/>
  <c r="A21" i="22"/>
  <c r="A19" i="22"/>
  <c r="A3" i="22"/>
  <c r="A2" i="22"/>
  <c r="A1" i="22"/>
  <c r="K573" i="34"/>
  <c r="J573" i="34"/>
  <c r="I573" i="34"/>
  <c r="K572" i="34"/>
  <c r="J572" i="34"/>
  <c r="I572" i="34"/>
  <c r="K571" i="34"/>
  <c r="J571" i="34"/>
  <c r="I571" i="34"/>
  <c r="K570" i="34"/>
  <c r="J570" i="34"/>
  <c r="I570" i="34"/>
  <c r="K569" i="34"/>
  <c r="J569" i="34"/>
  <c r="I569" i="34"/>
  <c r="K568" i="34"/>
  <c r="J568" i="34"/>
  <c r="I568" i="34"/>
  <c r="K567" i="34"/>
  <c r="J567" i="34"/>
  <c r="I567" i="34"/>
  <c r="K566" i="34"/>
  <c r="J566" i="34"/>
  <c r="I566" i="34"/>
  <c r="K565" i="34"/>
  <c r="J565" i="34"/>
  <c r="I565" i="34"/>
  <c r="K564" i="34"/>
  <c r="J564" i="34"/>
  <c r="I564" i="34"/>
  <c r="K563" i="34"/>
  <c r="J563" i="34"/>
  <c r="I563" i="34"/>
  <c r="K562" i="34"/>
  <c r="J562" i="34"/>
  <c r="I562" i="34"/>
  <c r="K561" i="34"/>
  <c r="J561" i="34"/>
  <c r="I561" i="34"/>
  <c r="K560" i="34"/>
  <c r="J560" i="34"/>
  <c r="I560" i="34"/>
  <c r="K559" i="34"/>
  <c r="J559" i="34"/>
  <c r="I559" i="34"/>
  <c r="K558" i="34"/>
  <c r="J558" i="34"/>
  <c r="I558" i="34"/>
  <c r="K557" i="34"/>
  <c r="J557" i="34"/>
  <c r="I557" i="34"/>
  <c r="K556" i="34"/>
  <c r="J556" i="34"/>
  <c r="I556" i="34"/>
  <c r="K555" i="34"/>
  <c r="J555" i="34"/>
  <c r="I555" i="34"/>
  <c r="K554" i="34"/>
  <c r="J554" i="34"/>
  <c r="I554" i="34"/>
  <c r="K553" i="34"/>
  <c r="J553" i="34"/>
  <c r="I553" i="34"/>
  <c r="K552" i="34"/>
  <c r="J552" i="34"/>
  <c r="I552" i="34"/>
  <c r="K551" i="34"/>
  <c r="J551" i="34"/>
  <c r="I551" i="34"/>
  <c r="K550" i="34"/>
  <c r="J550" i="34"/>
  <c r="I550" i="34"/>
  <c r="K549" i="34"/>
  <c r="J549" i="34"/>
  <c r="I549" i="34"/>
  <c r="K548" i="34"/>
  <c r="J548" i="34"/>
  <c r="I548" i="34"/>
  <c r="K547" i="34"/>
  <c r="J547" i="34"/>
  <c r="I547" i="34"/>
  <c r="K546" i="34"/>
  <c r="J546" i="34"/>
  <c r="I546" i="34"/>
  <c r="K545" i="34"/>
  <c r="J545" i="34"/>
  <c r="I545" i="34"/>
  <c r="K544" i="34"/>
  <c r="J544" i="34"/>
  <c r="I544" i="34"/>
  <c r="K543" i="34"/>
  <c r="J543" i="34"/>
  <c r="I543" i="34"/>
  <c r="K542" i="34"/>
  <c r="J542" i="34"/>
  <c r="I542" i="34"/>
  <c r="K541" i="34"/>
  <c r="J541" i="34"/>
  <c r="I541" i="34"/>
  <c r="K540" i="34"/>
  <c r="J540" i="34"/>
  <c r="I540" i="34"/>
  <c r="K539" i="34"/>
  <c r="J539" i="34"/>
  <c r="I539" i="34"/>
  <c r="K538" i="34"/>
  <c r="J538" i="34"/>
  <c r="I538" i="34"/>
  <c r="K537" i="34"/>
  <c r="J537" i="34"/>
  <c r="I537" i="34"/>
  <c r="K536" i="34"/>
  <c r="J536" i="34"/>
  <c r="I536" i="34"/>
  <c r="K535" i="34"/>
  <c r="J535" i="34"/>
  <c r="I535" i="34"/>
  <c r="K534" i="34"/>
  <c r="J534" i="34"/>
  <c r="I534" i="34"/>
  <c r="K533" i="34"/>
  <c r="J533" i="34"/>
  <c r="I533" i="34"/>
  <c r="K532" i="34"/>
  <c r="J532" i="34"/>
  <c r="I532" i="34"/>
  <c r="K531" i="34"/>
  <c r="J531" i="34"/>
  <c r="I531" i="34"/>
  <c r="K530" i="34"/>
  <c r="J530" i="34"/>
  <c r="I530" i="34"/>
  <c r="K529" i="34"/>
  <c r="J529" i="34"/>
  <c r="I529" i="34"/>
  <c r="K528" i="34"/>
  <c r="J528" i="34"/>
  <c r="I528" i="34"/>
  <c r="K527" i="34"/>
  <c r="J527" i="34"/>
  <c r="I527" i="34"/>
  <c r="K526" i="34"/>
  <c r="J526" i="34"/>
  <c r="I526" i="34"/>
  <c r="K525" i="34"/>
  <c r="J525" i="34"/>
  <c r="I525" i="34"/>
  <c r="K524" i="34"/>
  <c r="J524" i="34"/>
  <c r="I524" i="34"/>
  <c r="K523" i="34"/>
  <c r="J523" i="34"/>
  <c r="I523" i="34"/>
  <c r="K522" i="34"/>
  <c r="J522" i="34"/>
  <c r="I522" i="34"/>
  <c r="K521" i="34"/>
  <c r="J521" i="34"/>
  <c r="I521" i="34"/>
  <c r="K520" i="34"/>
  <c r="J520" i="34"/>
  <c r="I520" i="34"/>
  <c r="K519" i="34"/>
  <c r="J519" i="34"/>
  <c r="I519" i="34"/>
  <c r="K518" i="34"/>
  <c r="J518" i="34"/>
  <c r="I518" i="34"/>
  <c r="K517" i="34"/>
  <c r="J517" i="34"/>
  <c r="I517" i="34"/>
  <c r="K516" i="34"/>
  <c r="J516" i="34"/>
  <c r="I516" i="34"/>
  <c r="K515" i="34"/>
  <c r="J515" i="34"/>
  <c r="I515" i="34"/>
  <c r="K514" i="34"/>
  <c r="J514" i="34"/>
  <c r="I514" i="34"/>
  <c r="K513" i="34"/>
  <c r="J513" i="34"/>
  <c r="I513" i="34"/>
  <c r="K512" i="34"/>
  <c r="J512" i="34"/>
  <c r="I512" i="34"/>
  <c r="K511" i="34"/>
  <c r="J511" i="34"/>
  <c r="I511" i="34"/>
  <c r="K510" i="34"/>
  <c r="J510" i="34"/>
  <c r="I510" i="34"/>
  <c r="K509" i="34"/>
  <c r="J509" i="34"/>
  <c r="I509" i="34"/>
  <c r="K508" i="34"/>
  <c r="J508" i="34"/>
  <c r="I508" i="34"/>
  <c r="K507" i="34"/>
  <c r="J507" i="34"/>
  <c r="I507" i="34"/>
  <c r="K506" i="34"/>
  <c r="J506" i="34"/>
  <c r="I506" i="34"/>
  <c r="K505" i="34"/>
  <c r="J505" i="34"/>
  <c r="I505" i="34"/>
  <c r="K504" i="34"/>
  <c r="J504" i="34"/>
  <c r="I504" i="34"/>
  <c r="K503" i="34"/>
  <c r="J503" i="34"/>
  <c r="I503" i="34"/>
  <c r="K502" i="34"/>
  <c r="J502" i="34"/>
  <c r="I502" i="34"/>
  <c r="K501" i="34"/>
  <c r="J501" i="34"/>
  <c r="I501" i="34"/>
  <c r="K500" i="34"/>
  <c r="J500" i="34"/>
  <c r="I500" i="34"/>
  <c r="K499" i="34"/>
  <c r="J499" i="34"/>
  <c r="I499" i="34"/>
  <c r="K498" i="34"/>
  <c r="J498" i="34"/>
  <c r="I498" i="34"/>
  <c r="K497" i="34"/>
  <c r="J497" i="34"/>
  <c r="I497" i="34"/>
  <c r="K496" i="34"/>
  <c r="J496" i="34"/>
  <c r="I496" i="34"/>
  <c r="K495" i="34"/>
  <c r="J495" i="34"/>
  <c r="I495" i="34"/>
  <c r="K494" i="34"/>
  <c r="J494" i="34"/>
  <c r="I494" i="34"/>
  <c r="K493" i="34"/>
  <c r="J493" i="34"/>
  <c r="I493" i="34"/>
  <c r="K492" i="34"/>
  <c r="J492" i="34"/>
  <c r="I492" i="34"/>
  <c r="K491" i="34"/>
  <c r="J491" i="34"/>
  <c r="I491" i="34"/>
  <c r="K490" i="34"/>
  <c r="J490" i="34"/>
  <c r="I490" i="34"/>
  <c r="K489" i="34"/>
  <c r="J489" i="34"/>
  <c r="I489" i="34"/>
  <c r="K488" i="34"/>
  <c r="J488" i="34"/>
  <c r="I488" i="34"/>
  <c r="K487" i="34"/>
  <c r="J487" i="34"/>
  <c r="I487" i="34"/>
  <c r="K486" i="34"/>
  <c r="J486" i="34"/>
  <c r="I486" i="34"/>
  <c r="K485" i="34"/>
  <c r="J485" i="34"/>
  <c r="I485" i="34"/>
  <c r="K484" i="34"/>
  <c r="J484" i="34"/>
  <c r="I484" i="34"/>
  <c r="K483" i="34"/>
  <c r="J483" i="34"/>
  <c r="I483" i="34"/>
  <c r="K482" i="34"/>
  <c r="J482" i="34"/>
  <c r="I482" i="34"/>
  <c r="K481" i="34"/>
  <c r="J481" i="34"/>
  <c r="I481" i="34"/>
  <c r="K480" i="34"/>
  <c r="J480" i="34"/>
  <c r="I480" i="34"/>
  <c r="K479" i="34"/>
  <c r="J479" i="34"/>
  <c r="I479" i="34"/>
  <c r="K478" i="34"/>
  <c r="J478" i="34"/>
  <c r="I478" i="34"/>
  <c r="K477" i="34"/>
  <c r="J477" i="34"/>
  <c r="I477" i="34"/>
  <c r="K476" i="34"/>
  <c r="J476" i="34"/>
  <c r="I476" i="34"/>
  <c r="K475" i="34"/>
  <c r="J475" i="34"/>
  <c r="I475" i="34"/>
  <c r="K474" i="34"/>
  <c r="J474" i="34"/>
  <c r="I474" i="34"/>
  <c r="K473" i="34"/>
  <c r="J473" i="34"/>
  <c r="I473" i="34"/>
  <c r="K472" i="34"/>
  <c r="J472" i="34"/>
  <c r="I472" i="34"/>
  <c r="K471" i="34"/>
  <c r="J471" i="34"/>
  <c r="I471" i="34"/>
  <c r="K470" i="34"/>
  <c r="J470" i="34"/>
  <c r="I470" i="34"/>
  <c r="K469" i="34"/>
  <c r="J469" i="34"/>
  <c r="I469" i="34"/>
  <c r="K468" i="34"/>
  <c r="J468" i="34"/>
  <c r="I468" i="34"/>
  <c r="K467" i="34"/>
  <c r="J467" i="34"/>
  <c r="I467" i="34"/>
  <c r="K466" i="34"/>
  <c r="J466" i="34"/>
  <c r="I466" i="34"/>
  <c r="K465" i="34"/>
  <c r="J465" i="34"/>
  <c r="I465" i="34"/>
  <c r="K464" i="34"/>
  <c r="J464" i="34"/>
  <c r="I464" i="34"/>
  <c r="K463" i="34"/>
  <c r="J463" i="34"/>
  <c r="I463" i="34"/>
  <c r="K462" i="34"/>
  <c r="J462" i="34"/>
  <c r="I462" i="34"/>
  <c r="K461" i="34"/>
  <c r="J461" i="34"/>
  <c r="I461" i="34"/>
  <c r="K460" i="34"/>
  <c r="J460" i="34"/>
  <c r="I460" i="34"/>
  <c r="K459" i="34"/>
  <c r="J459" i="34"/>
  <c r="I459" i="34"/>
  <c r="K458" i="34"/>
  <c r="J458" i="34"/>
  <c r="I458" i="34"/>
  <c r="K457" i="34"/>
  <c r="J457" i="34"/>
  <c r="I457" i="34"/>
  <c r="K456" i="34"/>
  <c r="J456" i="34"/>
  <c r="I456" i="34"/>
  <c r="K455" i="34"/>
  <c r="J455" i="34"/>
  <c r="I455" i="34"/>
  <c r="K454" i="34"/>
  <c r="J454" i="34"/>
  <c r="I454" i="34"/>
  <c r="K453" i="34"/>
  <c r="J453" i="34"/>
  <c r="I453" i="34"/>
  <c r="K452" i="34"/>
  <c r="J452" i="34"/>
  <c r="I452" i="34"/>
  <c r="K451" i="34"/>
  <c r="J451" i="34"/>
  <c r="I451" i="34"/>
  <c r="K450" i="34"/>
  <c r="J450" i="34"/>
  <c r="I450" i="34"/>
  <c r="K449" i="34"/>
  <c r="J449" i="34"/>
  <c r="I449" i="34"/>
  <c r="K448" i="34"/>
  <c r="J448" i="34"/>
  <c r="I448" i="34"/>
  <c r="K447" i="34"/>
  <c r="J447" i="34"/>
  <c r="I447" i="34"/>
  <c r="K446" i="34"/>
  <c r="J446" i="34"/>
  <c r="I446" i="34"/>
  <c r="K445" i="34"/>
  <c r="J445" i="34"/>
  <c r="I445" i="34"/>
  <c r="K444" i="34"/>
  <c r="J444" i="34"/>
  <c r="I444" i="34"/>
  <c r="K443" i="34"/>
  <c r="J443" i="34"/>
  <c r="I443" i="34"/>
  <c r="K442" i="34"/>
  <c r="J442" i="34"/>
  <c r="I442" i="34"/>
  <c r="K441" i="34"/>
  <c r="J441" i="34"/>
  <c r="I441" i="34"/>
  <c r="K440" i="34"/>
  <c r="J440" i="34"/>
  <c r="I440" i="34"/>
  <c r="K439" i="34"/>
  <c r="J439" i="34"/>
  <c r="I439" i="34"/>
  <c r="K438" i="34"/>
  <c r="J438" i="34"/>
  <c r="I438" i="34"/>
  <c r="K437" i="34"/>
  <c r="J437" i="34"/>
  <c r="I437" i="34"/>
  <c r="K436" i="34"/>
  <c r="J436" i="34"/>
  <c r="I436" i="34"/>
  <c r="K435" i="34"/>
  <c r="J435" i="34"/>
  <c r="I435" i="34"/>
  <c r="K434" i="34"/>
  <c r="J434" i="34"/>
  <c r="I434" i="34"/>
  <c r="K433" i="34"/>
  <c r="J433" i="34"/>
  <c r="I433" i="34"/>
  <c r="K432" i="34"/>
  <c r="J432" i="34"/>
  <c r="I432" i="34"/>
  <c r="K431" i="34"/>
  <c r="J431" i="34"/>
  <c r="I431" i="34"/>
  <c r="K430" i="34"/>
  <c r="J430" i="34"/>
  <c r="I430" i="34"/>
  <c r="K429" i="34"/>
  <c r="J429" i="34"/>
  <c r="I429" i="34"/>
  <c r="K428" i="34"/>
  <c r="J428" i="34"/>
  <c r="I428" i="34"/>
  <c r="K427" i="34"/>
  <c r="J427" i="34"/>
  <c r="I427" i="34"/>
  <c r="K426" i="34"/>
  <c r="J426" i="34"/>
  <c r="I426" i="34"/>
  <c r="K425" i="34"/>
  <c r="J425" i="34"/>
  <c r="I425" i="34"/>
  <c r="K424" i="34"/>
  <c r="J424" i="34"/>
  <c r="I424" i="34"/>
  <c r="K423" i="34"/>
  <c r="J423" i="34"/>
  <c r="I423" i="34"/>
  <c r="K422" i="34"/>
  <c r="J422" i="34"/>
  <c r="I422" i="34"/>
  <c r="K421" i="34"/>
  <c r="J421" i="34"/>
  <c r="I421" i="34"/>
  <c r="K420" i="34"/>
  <c r="J420" i="34"/>
  <c r="I420" i="34"/>
  <c r="K419" i="34"/>
  <c r="J419" i="34"/>
  <c r="I419" i="34"/>
  <c r="K418" i="34"/>
  <c r="J418" i="34"/>
  <c r="I418" i="34"/>
  <c r="K417" i="34"/>
  <c r="J417" i="34"/>
  <c r="I417" i="34"/>
  <c r="K416" i="34"/>
  <c r="J416" i="34"/>
  <c r="I416" i="34"/>
  <c r="K415" i="34"/>
  <c r="J415" i="34"/>
  <c r="I415" i="34"/>
  <c r="K414" i="34"/>
  <c r="J414" i="34"/>
  <c r="I414" i="34"/>
  <c r="K413" i="34"/>
  <c r="J413" i="34"/>
  <c r="I413" i="34"/>
  <c r="K412" i="34"/>
  <c r="J412" i="34"/>
  <c r="I412" i="34"/>
  <c r="K411" i="34"/>
  <c r="J411" i="34"/>
  <c r="I411" i="34"/>
  <c r="K410" i="34"/>
  <c r="J410" i="34"/>
  <c r="I410" i="34"/>
  <c r="K409" i="34"/>
  <c r="J409" i="34"/>
  <c r="I409" i="34"/>
  <c r="K408" i="34"/>
  <c r="J408" i="34"/>
  <c r="I408" i="34"/>
  <c r="K407" i="34"/>
  <c r="J407" i="34"/>
  <c r="I407" i="34"/>
  <c r="K406" i="34"/>
  <c r="J406" i="34"/>
  <c r="I406" i="34"/>
  <c r="K405" i="34"/>
  <c r="J405" i="34"/>
  <c r="I405" i="34"/>
  <c r="K404" i="34"/>
  <c r="J404" i="34"/>
  <c r="I404" i="34"/>
  <c r="K403" i="34"/>
  <c r="J403" i="34"/>
  <c r="I403" i="34"/>
  <c r="K402" i="34"/>
  <c r="J402" i="34"/>
  <c r="I402" i="34"/>
  <c r="K401" i="34"/>
  <c r="J401" i="34"/>
  <c r="I401" i="34"/>
  <c r="K400" i="34"/>
  <c r="J400" i="34"/>
  <c r="I400" i="34"/>
  <c r="K399" i="34"/>
  <c r="J399" i="34"/>
  <c r="I399" i="34"/>
  <c r="K398" i="34"/>
  <c r="J398" i="34"/>
  <c r="I398" i="34"/>
  <c r="K397" i="34"/>
  <c r="J397" i="34"/>
  <c r="I397" i="34"/>
  <c r="K396" i="34"/>
  <c r="J396" i="34"/>
  <c r="I396" i="34"/>
  <c r="K395" i="34"/>
  <c r="J395" i="34"/>
  <c r="I395" i="34"/>
  <c r="K394" i="34"/>
  <c r="J394" i="34"/>
  <c r="I394" i="34"/>
  <c r="K393" i="34"/>
  <c r="J393" i="34"/>
  <c r="I393" i="34"/>
  <c r="K392" i="34"/>
  <c r="J392" i="34"/>
  <c r="I392" i="34"/>
  <c r="K391" i="34"/>
  <c r="J391" i="34"/>
  <c r="I391" i="34"/>
  <c r="K390" i="34"/>
  <c r="J390" i="34"/>
  <c r="I390" i="34"/>
  <c r="K389" i="34"/>
  <c r="J389" i="34"/>
  <c r="I389" i="34"/>
  <c r="K388" i="34"/>
  <c r="J388" i="34"/>
  <c r="I388" i="34"/>
  <c r="K387" i="34"/>
  <c r="J387" i="34"/>
  <c r="I387" i="34"/>
  <c r="K386" i="34"/>
  <c r="J386" i="34"/>
  <c r="I386" i="34"/>
  <c r="K385" i="34"/>
  <c r="J385" i="34"/>
  <c r="I385" i="34"/>
  <c r="K384" i="34"/>
  <c r="J384" i="34"/>
  <c r="I384" i="34"/>
  <c r="K383" i="34"/>
  <c r="J383" i="34"/>
  <c r="I383" i="34"/>
  <c r="K382" i="34"/>
  <c r="J382" i="34"/>
  <c r="I382" i="34"/>
  <c r="K381" i="34"/>
  <c r="J381" i="34"/>
  <c r="I381" i="34"/>
  <c r="K380" i="34"/>
  <c r="J380" i="34"/>
  <c r="I380" i="34"/>
  <c r="K379" i="34"/>
  <c r="J379" i="34"/>
  <c r="I379" i="34"/>
  <c r="K378" i="34"/>
  <c r="J378" i="34"/>
  <c r="I378" i="34"/>
  <c r="K377" i="34"/>
  <c r="J377" i="34"/>
  <c r="I377" i="34"/>
  <c r="K376" i="34"/>
  <c r="J376" i="34"/>
  <c r="I376" i="34"/>
  <c r="K375" i="34"/>
  <c r="J375" i="34"/>
  <c r="I375" i="34"/>
  <c r="K374" i="34"/>
  <c r="J374" i="34"/>
  <c r="I374" i="34"/>
  <c r="K373" i="34"/>
  <c r="J373" i="34"/>
  <c r="I373" i="34"/>
  <c r="K372" i="34"/>
  <c r="J372" i="34"/>
  <c r="I372" i="34"/>
  <c r="K371" i="34"/>
  <c r="J371" i="34"/>
  <c r="I371" i="34"/>
  <c r="K370" i="34"/>
  <c r="J370" i="34"/>
  <c r="I370" i="34"/>
  <c r="K369" i="34"/>
  <c r="J369" i="34"/>
  <c r="I369" i="34"/>
  <c r="K368" i="34"/>
  <c r="J368" i="34"/>
  <c r="I368" i="34"/>
  <c r="K367" i="34"/>
  <c r="J367" i="34"/>
  <c r="I367" i="34"/>
  <c r="K366" i="34"/>
  <c r="J366" i="34"/>
  <c r="I366" i="34"/>
  <c r="K365" i="34"/>
  <c r="J365" i="34"/>
  <c r="I365" i="34"/>
  <c r="K364" i="34"/>
  <c r="J364" i="34"/>
  <c r="I364" i="34"/>
  <c r="K363" i="34"/>
  <c r="J363" i="34"/>
  <c r="I363" i="34"/>
  <c r="K362" i="34"/>
  <c r="J362" i="34"/>
  <c r="I362" i="34"/>
  <c r="K361" i="34"/>
  <c r="J361" i="34"/>
  <c r="I361" i="34"/>
  <c r="K360" i="34"/>
  <c r="J360" i="34"/>
  <c r="I360" i="34"/>
  <c r="K359" i="34"/>
  <c r="J359" i="34"/>
  <c r="I359" i="34"/>
  <c r="K358" i="34"/>
  <c r="J358" i="34"/>
  <c r="I358" i="34"/>
  <c r="K357" i="34"/>
  <c r="J357" i="34"/>
  <c r="I357" i="34"/>
  <c r="K356" i="34"/>
  <c r="J356" i="34"/>
  <c r="I356" i="34"/>
  <c r="K355" i="34"/>
  <c r="J355" i="34"/>
  <c r="I355" i="34"/>
  <c r="K354" i="34"/>
  <c r="J354" i="34"/>
  <c r="I354" i="34"/>
  <c r="K353" i="34"/>
  <c r="J353" i="34"/>
  <c r="I353" i="34"/>
  <c r="K352" i="34"/>
  <c r="J352" i="34"/>
  <c r="I352" i="34"/>
  <c r="K351" i="34"/>
  <c r="J351" i="34"/>
  <c r="I351" i="34"/>
  <c r="K350" i="34"/>
  <c r="J350" i="34"/>
  <c r="I350" i="34"/>
  <c r="K349" i="34"/>
  <c r="J349" i="34"/>
  <c r="I349" i="34"/>
  <c r="K348" i="34"/>
  <c r="J348" i="34"/>
  <c r="I348" i="34"/>
  <c r="K347" i="34"/>
  <c r="J347" i="34"/>
  <c r="I347" i="34"/>
  <c r="K346" i="34"/>
  <c r="J346" i="34"/>
  <c r="I346" i="34"/>
  <c r="K345" i="34"/>
  <c r="J345" i="34"/>
  <c r="I345" i="34"/>
  <c r="K344" i="34"/>
  <c r="J344" i="34"/>
  <c r="I344" i="34"/>
  <c r="K343" i="34"/>
  <c r="J343" i="34"/>
  <c r="I343" i="34"/>
  <c r="K342" i="34"/>
  <c r="J342" i="34"/>
  <c r="I342" i="34"/>
  <c r="K341" i="34"/>
  <c r="J341" i="34"/>
  <c r="I341" i="34"/>
  <c r="K340" i="34"/>
  <c r="J340" i="34"/>
  <c r="I340" i="34"/>
  <c r="K339" i="34"/>
  <c r="J339" i="34"/>
  <c r="I339" i="34"/>
  <c r="K338" i="34"/>
  <c r="J338" i="34"/>
  <c r="I338" i="34"/>
  <c r="K337" i="34"/>
  <c r="J337" i="34"/>
  <c r="I337" i="34"/>
  <c r="K336" i="34"/>
  <c r="J336" i="34"/>
  <c r="I336" i="34"/>
  <c r="K335" i="34"/>
  <c r="J335" i="34"/>
  <c r="I335" i="34"/>
  <c r="K334" i="34"/>
  <c r="J334" i="34"/>
  <c r="I334" i="34"/>
  <c r="K333" i="34"/>
  <c r="J333" i="34"/>
  <c r="I333" i="34"/>
  <c r="K332" i="34"/>
  <c r="J332" i="34"/>
  <c r="I332" i="34"/>
  <c r="K331" i="34"/>
  <c r="J331" i="34"/>
  <c r="I331" i="34"/>
  <c r="K330" i="34"/>
  <c r="J330" i="34"/>
  <c r="I330" i="34"/>
  <c r="K329" i="34"/>
  <c r="J329" i="34"/>
  <c r="I329" i="34"/>
  <c r="K328" i="34"/>
  <c r="J328" i="34"/>
  <c r="I328" i="34"/>
  <c r="K327" i="34"/>
  <c r="J327" i="34"/>
  <c r="I327" i="34"/>
  <c r="K326" i="34"/>
  <c r="J326" i="34"/>
  <c r="I326" i="34"/>
  <c r="K325" i="34"/>
  <c r="J325" i="34"/>
  <c r="I325" i="34"/>
  <c r="K324" i="34"/>
  <c r="J324" i="34"/>
  <c r="I324" i="34"/>
  <c r="K323" i="34"/>
  <c r="J323" i="34"/>
  <c r="I323" i="34"/>
  <c r="K322" i="34"/>
  <c r="J322" i="34"/>
  <c r="I322" i="34"/>
  <c r="K321" i="34"/>
  <c r="J321" i="34"/>
  <c r="I321" i="34"/>
  <c r="K320" i="34"/>
  <c r="J320" i="34"/>
  <c r="I320" i="34"/>
  <c r="K319" i="34"/>
  <c r="J319" i="34"/>
  <c r="I319" i="34"/>
  <c r="K318" i="34"/>
  <c r="J318" i="34"/>
  <c r="I318" i="34"/>
  <c r="K317" i="34"/>
  <c r="J317" i="34"/>
  <c r="I317" i="34"/>
  <c r="K316" i="34"/>
  <c r="J316" i="34"/>
  <c r="I316" i="34"/>
  <c r="K315" i="34"/>
  <c r="J315" i="34"/>
  <c r="I315" i="34"/>
  <c r="K314" i="34"/>
  <c r="J314" i="34"/>
  <c r="I314" i="34"/>
  <c r="K313" i="34"/>
  <c r="J313" i="34"/>
  <c r="I313" i="34"/>
  <c r="K312" i="34"/>
  <c r="J312" i="34"/>
  <c r="I312" i="34"/>
  <c r="K311" i="34"/>
  <c r="J311" i="34"/>
  <c r="I311" i="34"/>
  <c r="K310" i="34"/>
  <c r="J310" i="34"/>
  <c r="I310" i="34"/>
  <c r="K309" i="34"/>
  <c r="J309" i="34"/>
  <c r="I309" i="34"/>
  <c r="K308" i="34"/>
  <c r="J308" i="34"/>
  <c r="I308" i="34"/>
  <c r="K307" i="34"/>
  <c r="J307" i="34"/>
  <c r="I307" i="34"/>
  <c r="K306" i="34"/>
  <c r="J306" i="34"/>
  <c r="I306" i="34"/>
  <c r="K305" i="34"/>
  <c r="J305" i="34"/>
  <c r="I305" i="34"/>
  <c r="K304" i="34"/>
  <c r="J304" i="34"/>
  <c r="I304" i="34"/>
  <c r="K303" i="34"/>
  <c r="J303" i="34"/>
  <c r="I303" i="34"/>
  <c r="K302" i="34"/>
  <c r="J302" i="34"/>
  <c r="I302" i="34"/>
  <c r="K301" i="34"/>
  <c r="J301" i="34"/>
  <c r="I301" i="34"/>
  <c r="K300" i="34"/>
  <c r="J300" i="34"/>
  <c r="I300" i="34"/>
  <c r="K299" i="34"/>
  <c r="J299" i="34"/>
  <c r="I299" i="34"/>
  <c r="K298" i="34"/>
  <c r="J298" i="34"/>
  <c r="I298" i="34"/>
  <c r="K297" i="34"/>
  <c r="J297" i="34"/>
  <c r="I297" i="34"/>
  <c r="K296" i="34"/>
  <c r="J296" i="34"/>
  <c r="I296" i="34"/>
  <c r="K295" i="34"/>
  <c r="J295" i="34"/>
  <c r="I295" i="34"/>
  <c r="K294" i="34"/>
  <c r="J294" i="34"/>
  <c r="I294" i="34"/>
  <c r="K293" i="34"/>
  <c r="J293" i="34"/>
  <c r="I293" i="34"/>
  <c r="K292" i="34"/>
  <c r="J292" i="34"/>
  <c r="I292" i="34"/>
  <c r="K291" i="34"/>
  <c r="J291" i="34"/>
  <c r="I291" i="34"/>
  <c r="K290" i="34"/>
  <c r="J290" i="34"/>
  <c r="I290" i="34"/>
  <c r="K289" i="34"/>
  <c r="J289" i="34"/>
  <c r="I289" i="34"/>
  <c r="K288" i="34"/>
  <c r="J288" i="34"/>
  <c r="I288" i="34"/>
  <c r="K287" i="34"/>
  <c r="J287" i="34"/>
  <c r="I287" i="34"/>
  <c r="K286" i="34"/>
  <c r="J286" i="34"/>
  <c r="I286" i="34"/>
  <c r="K285" i="34"/>
  <c r="J285" i="34"/>
  <c r="I285" i="34"/>
  <c r="K284" i="34"/>
  <c r="J284" i="34"/>
  <c r="I284" i="34"/>
  <c r="K283" i="34"/>
  <c r="J283" i="34"/>
  <c r="I283" i="34"/>
  <c r="K282" i="34"/>
  <c r="J282" i="34"/>
  <c r="I282" i="34"/>
  <c r="K281" i="34"/>
  <c r="J281" i="34"/>
  <c r="I281" i="34"/>
  <c r="K280" i="34"/>
  <c r="J280" i="34"/>
  <c r="I280" i="34"/>
  <c r="K279" i="34"/>
  <c r="J279" i="34"/>
  <c r="I279" i="34"/>
  <c r="K278" i="34"/>
  <c r="J278" i="34"/>
  <c r="I278" i="34"/>
  <c r="K277" i="34"/>
  <c r="J277" i="34"/>
  <c r="I277" i="34"/>
  <c r="K276" i="34"/>
  <c r="J276" i="34"/>
  <c r="I276" i="34"/>
  <c r="K275" i="34"/>
  <c r="J275" i="34"/>
  <c r="I275" i="34"/>
  <c r="K274" i="34"/>
  <c r="J274" i="34"/>
  <c r="I274" i="34"/>
  <c r="K273" i="34"/>
  <c r="J273" i="34"/>
  <c r="I273" i="34"/>
  <c r="K272" i="34"/>
  <c r="J272" i="34"/>
  <c r="I272" i="34"/>
  <c r="K271" i="34"/>
  <c r="J271" i="34"/>
  <c r="I271" i="34"/>
  <c r="K270" i="34"/>
  <c r="J270" i="34"/>
  <c r="I270" i="34"/>
  <c r="K269" i="34"/>
  <c r="J269" i="34"/>
  <c r="I269" i="34"/>
  <c r="K268" i="34"/>
  <c r="J268" i="34"/>
  <c r="I268" i="34"/>
  <c r="K267" i="34"/>
  <c r="J267" i="34"/>
  <c r="I267" i="34"/>
  <c r="K266" i="34"/>
  <c r="J266" i="34"/>
  <c r="I266" i="34"/>
  <c r="K265" i="34"/>
  <c r="J265" i="34"/>
  <c r="I265" i="34"/>
  <c r="K264" i="34"/>
  <c r="J264" i="34"/>
  <c r="I264" i="34"/>
  <c r="K263" i="34"/>
  <c r="J263" i="34"/>
  <c r="I263" i="34"/>
  <c r="K262" i="34"/>
  <c r="J262" i="34"/>
  <c r="I262" i="34"/>
  <c r="K261" i="34"/>
  <c r="J261" i="34"/>
  <c r="I261" i="34"/>
  <c r="K260" i="34"/>
  <c r="J260" i="34"/>
  <c r="I260" i="34"/>
  <c r="K259" i="34"/>
  <c r="J259" i="34"/>
  <c r="I259" i="34"/>
  <c r="K258" i="34"/>
  <c r="J258" i="34"/>
  <c r="I258" i="34"/>
  <c r="K257" i="34"/>
  <c r="J257" i="34"/>
  <c r="I257" i="34"/>
  <c r="K256" i="34"/>
  <c r="J256" i="34"/>
  <c r="I256" i="34"/>
  <c r="K255" i="34"/>
  <c r="J255" i="34"/>
  <c r="I255" i="34"/>
  <c r="K254" i="34"/>
  <c r="J254" i="34"/>
  <c r="I254" i="34"/>
  <c r="K253" i="34"/>
  <c r="J253" i="34"/>
  <c r="I253" i="34"/>
  <c r="K252" i="34"/>
  <c r="J252" i="34"/>
  <c r="I252" i="34"/>
  <c r="K251" i="34"/>
  <c r="J251" i="34"/>
  <c r="I251" i="34"/>
  <c r="K250" i="34"/>
  <c r="J250" i="34"/>
  <c r="I250" i="34"/>
  <c r="K249" i="34"/>
  <c r="J249" i="34"/>
  <c r="I249" i="34"/>
  <c r="K248" i="34"/>
  <c r="J248" i="34"/>
  <c r="I248" i="34"/>
  <c r="K247" i="34"/>
  <c r="J247" i="34"/>
  <c r="I247" i="34"/>
  <c r="K246" i="34"/>
  <c r="J246" i="34"/>
  <c r="I246" i="34"/>
  <c r="K245" i="34"/>
  <c r="J245" i="34"/>
  <c r="I245" i="34"/>
  <c r="K244" i="34"/>
  <c r="J244" i="34"/>
  <c r="I244" i="34"/>
  <c r="K243" i="34"/>
  <c r="J243" i="34"/>
  <c r="I243" i="34"/>
  <c r="K242" i="34"/>
  <c r="J242" i="34"/>
  <c r="I242" i="34"/>
  <c r="K241" i="34"/>
  <c r="J241" i="34"/>
  <c r="I241" i="34"/>
  <c r="K240" i="34"/>
  <c r="J240" i="34"/>
  <c r="I240" i="34"/>
  <c r="K239" i="34"/>
  <c r="J239" i="34"/>
  <c r="I239" i="34"/>
  <c r="K238" i="34"/>
  <c r="J238" i="34"/>
  <c r="I238" i="34"/>
  <c r="K237" i="34"/>
  <c r="J237" i="34"/>
  <c r="I237" i="34"/>
  <c r="K236" i="34"/>
  <c r="J236" i="34"/>
  <c r="I236" i="34"/>
  <c r="K235" i="34"/>
  <c r="J235" i="34"/>
  <c r="I235" i="34"/>
  <c r="K234" i="34"/>
  <c r="J234" i="34"/>
  <c r="I234" i="34"/>
  <c r="K233" i="34"/>
  <c r="J233" i="34"/>
  <c r="I233" i="34"/>
  <c r="K232" i="34"/>
  <c r="J232" i="34"/>
  <c r="I232" i="34"/>
  <c r="K231" i="34"/>
  <c r="J231" i="34"/>
  <c r="I231" i="34"/>
  <c r="K230" i="34"/>
  <c r="J230" i="34"/>
  <c r="I230" i="34"/>
  <c r="K229" i="34"/>
  <c r="J229" i="34"/>
  <c r="I229" i="34"/>
  <c r="K228" i="34"/>
  <c r="J228" i="34"/>
  <c r="I228" i="34"/>
  <c r="K227" i="34"/>
  <c r="J227" i="34"/>
  <c r="I227" i="34"/>
  <c r="K226" i="34"/>
  <c r="J226" i="34"/>
  <c r="I226" i="34"/>
  <c r="K225" i="34"/>
  <c r="J225" i="34"/>
  <c r="I225" i="34"/>
  <c r="K224" i="34"/>
  <c r="J224" i="34"/>
  <c r="I224" i="34"/>
  <c r="K223" i="34"/>
  <c r="J223" i="34"/>
  <c r="I223" i="34"/>
  <c r="K222" i="34"/>
  <c r="J222" i="34"/>
  <c r="I222" i="34"/>
  <c r="K221" i="34"/>
  <c r="J221" i="34"/>
  <c r="I221" i="34"/>
  <c r="K220" i="34"/>
  <c r="J220" i="34"/>
  <c r="I220" i="34"/>
  <c r="K219" i="34"/>
  <c r="J219" i="34"/>
  <c r="I219" i="34"/>
  <c r="K218" i="34"/>
  <c r="J218" i="34"/>
  <c r="I218" i="34"/>
  <c r="K217" i="34"/>
  <c r="J217" i="34"/>
  <c r="I217" i="34"/>
  <c r="K216" i="34"/>
  <c r="J216" i="34"/>
  <c r="I216" i="34"/>
  <c r="K215" i="34"/>
  <c r="J215" i="34"/>
  <c r="I215" i="34"/>
  <c r="K214" i="34"/>
  <c r="J214" i="34"/>
  <c r="I214" i="34"/>
  <c r="K213" i="34"/>
  <c r="J213" i="34"/>
  <c r="I213" i="34"/>
  <c r="K212" i="34"/>
  <c r="J212" i="34"/>
  <c r="I212" i="34"/>
  <c r="K211" i="34"/>
  <c r="J211" i="34"/>
  <c r="I211" i="34"/>
  <c r="K210" i="34"/>
  <c r="J210" i="34"/>
  <c r="I210" i="34"/>
  <c r="K209" i="34"/>
  <c r="J209" i="34"/>
  <c r="I209" i="34"/>
  <c r="K208" i="34"/>
  <c r="J208" i="34"/>
  <c r="I208" i="34"/>
  <c r="K207" i="34"/>
  <c r="J207" i="34"/>
  <c r="I207" i="34"/>
  <c r="K206" i="34"/>
  <c r="J206" i="34"/>
  <c r="I206" i="34"/>
  <c r="K205" i="34"/>
  <c r="J205" i="34"/>
  <c r="I205" i="34"/>
  <c r="K204" i="34"/>
  <c r="J204" i="34"/>
  <c r="I204" i="34"/>
  <c r="K203" i="34"/>
  <c r="J203" i="34"/>
  <c r="I203" i="34"/>
  <c r="K202" i="34"/>
  <c r="J202" i="34"/>
  <c r="I202" i="34"/>
  <c r="K201" i="34"/>
  <c r="J201" i="34"/>
  <c r="I201" i="34"/>
  <c r="K200" i="34"/>
  <c r="J200" i="34"/>
  <c r="I200" i="34"/>
  <c r="K199" i="34"/>
  <c r="J199" i="34"/>
  <c r="I199" i="34"/>
  <c r="K198" i="34"/>
  <c r="J198" i="34"/>
  <c r="I198" i="34"/>
  <c r="K197" i="34"/>
  <c r="J197" i="34"/>
  <c r="I197" i="34"/>
  <c r="K196" i="34"/>
  <c r="J196" i="34"/>
  <c r="I196" i="34"/>
  <c r="K195" i="34"/>
  <c r="J195" i="34"/>
  <c r="I195" i="34"/>
  <c r="K194" i="34"/>
  <c r="J194" i="34"/>
  <c r="I194" i="34"/>
  <c r="K193" i="34"/>
  <c r="J193" i="34"/>
  <c r="I193" i="34"/>
  <c r="K189" i="34"/>
  <c r="J189" i="34"/>
  <c r="I189" i="34"/>
  <c r="K188" i="34"/>
  <c r="J188" i="34"/>
  <c r="I188" i="34"/>
  <c r="K187" i="34"/>
  <c r="J187" i="34"/>
  <c r="I187" i="34"/>
  <c r="K186" i="34"/>
  <c r="J186" i="34"/>
  <c r="I186" i="34"/>
  <c r="K185" i="34"/>
  <c r="J185" i="34"/>
  <c r="I185" i="34"/>
  <c r="K184" i="34"/>
  <c r="J184" i="34"/>
  <c r="I184" i="34"/>
  <c r="K183" i="34"/>
  <c r="J183" i="34"/>
  <c r="I183" i="34"/>
  <c r="K182" i="34"/>
  <c r="J182" i="34"/>
  <c r="I182" i="34"/>
  <c r="K181" i="34"/>
  <c r="J181" i="34"/>
  <c r="I181" i="34"/>
  <c r="K180" i="34"/>
  <c r="J180" i="34"/>
  <c r="I180" i="34"/>
  <c r="K179" i="34"/>
  <c r="J179" i="34"/>
  <c r="I179" i="34"/>
  <c r="K178" i="34"/>
  <c r="J178" i="34"/>
  <c r="I178" i="34"/>
  <c r="K177" i="34"/>
  <c r="J177" i="34"/>
  <c r="I177" i="34"/>
  <c r="K176" i="34"/>
  <c r="J176" i="34"/>
  <c r="I176" i="34"/>
  <c r="K175" i="34"/>
  <c r="J175" i="34"/>
  <c r="I175" i="34"/>
  <c r="K174" i="34"/>
  <c r="J174" i="34"/>
  <c r="I174" i="34"/>
  <c r="K173" i="34"/>
  <c r="J173" i="34"/>
  <c r="I173" i="34"/>
  <c r="K172" i="34"/>
  <c r="J172" i="34"/>
  <c r="I172" i="34"/>
  <c r="K171" i="34"/>
  <c r="J171" i="34"/>
  <c r="I171" i="34"/>
  <c r="K170" i="34"/>
  <c r="J170" i="34"/>
  <c r="I170" i="34"/>
  <c r="K169" i="34"/>
  <c r="J169" i="34"/>
  <c r="I169" i="34"/>
  <c r="K168" i="34"/>
  <c r="J168" i="34"/>
  <c r="I168" i="34"/>
  <c r="K167" i="34"/>
  <c r="J167" i="34"/>
  <c r="I167" i="34"/>
  <c r="K166" i="34"/>
  <c r="J166" i="34"/>
  <c r="I166" i="34"/>
  <c r="K165" i="34"/>
  <c r="J165" i="34"/>
  <c r="I165" i="34"/>
  <c r="K164" i="34"/>
  <c r="J164" i="34"/>
  <c r="I164" i="34"/>
  <c r="K163" i="34"/>
  <c r="J163" i="34"/>
  <c r="I163" i="34"/>
  <c r="K162" i="34"/>
  <c r="J162" i="34"/>
  <c r="I162" i="34"/>
  <c r="K161" i="34"/>
  <c r="J161" i="34"/>
  <c r="I161" i="34"/>
  <c r="K160" i="34"/>
  <c r="J160" i="34"/>
  <c r="I160" i="34"/>
  <c r="K159" i="34"/>
  <c r="J159" i="34"/>
  <c r="I159" i="34"/>
  <c r="K158" i="34"/>
  <c r="J158" i="34"/>
  <c r="I158" i="34"/>
  <c r="K157" i="34"/>
  <c r="J157" i="34"/>
  <c r="I157" i="34"/>
  <c r="K156" i="34"/>
  <c r="J156" i="34"/>
  <c r="I156" i="34"/>
  <c r="K155" i="34"/>
  <c r="J155" i="34"/>
  <c r="I155" i="34"/>
  <c r="K154" i="34"/>
  <c r="J154" i="34"/>
  <c r="I154" i="34"/>
  <c r="K153" i="34"/>
  <c r="J153" i="34"/>
  <c r="I153" i="34"/>
  <c r="K152" i="34"/>
  <c r="J152" i="34"/>
  <c r="I152" i="34"/>
  <c r="K151" i="34"/>
  <c r="J151" i="34"/>
  <c r="I151" i="34"/>
  <c r="K150" i="34"/>
  <c r="J150" i="34"/>
  <c r="I150" i="34"/>
  <c r="K149" i="34"/>
  <c r="J149" i="34"/>
  <c r="I149" i="34"/>
  <c r="K148" i="34"/>
  <c r="J148" i="34"/>
  <c r="I148" i="34"/>
  <c r="K147" i="34"/>
  <c r="J147" i="34"/>
  <c r="I147" i="34"/>
  <c r="K146" i="34"/>
  <c r="J146" i="34"/>
  <c r="I146" i="34"/>
  <c r="K145" i="34"/>
  <c r="J145" i="34"/>
  <c r="I145" i="34"/>
  <c r="K144" i="34"/>
  <c r="J144" i="34"/>
  <c r="I144" i="34"/>
  <c r="K143" i="34"/>
  <c r="J143" i="34"/>
  <c r="I143" i="34"/>
  <c r="K142" i="34"/>
  <c r="J142" i="34"/>
  <c r="I142" i="34"/>
  <c r="K141" i="34"/>
  <c r="J141" i="34"/>
  <c r="I141" i="34"/>
  <c r="K140" i="34"/>
  <c r="J140" i="34"/>
  <c r="I140" i="34"/>
  <c r="K139" i="34"/>
  <c r="J139" i="34"/>
  <c r="I139" i="34"/>
  <c r="K138" i="34"/>
  <c r="J138" i="34"/>
  <c r="I138" i="34"/>
  <c r="K137" i="34"/>
  <c r="J137" i="34"/>
  <c r="I137" i="34"/>
  <c r="K136" i="34"/>
  <c r="J136" i="34"/>
  <c r="I136" i="34"/>
  <c r="K135" i="34"/>
  <c r="J135" i="34"/>
  <c r="I135" i="34"/>
  <c r="K134" i="34"/>
  <c r="J134" i="34"/>
  <c r="I134" i="34"/>
  <c r="K133" i="34"/>
  <c r="J133" i="34"/>
  <c r="I133" i="34"/>
  <c r="K132" i="34"/>
  <c r="J132" i="34"/>
  <c r="I132" i="34"/>
  <c r="K131" i="34"/>
  <c r="J131" i="34"/>
  <c r="I131" i="34"/>
  <c r="K130" i="34"/>
  <c r="J130" i="34"/>
  <c r="I130" i="34"/>
  <c r="K129" i="34"/>
  <c r="J129" i="34"/>
  <c r="I129" i="34"/>
  <c r="K128" i="34"/>
  <c r="J128" i="34"/>
  <c r="I128" i="34"/>
  <c r="K127" i="34"/>
  <c r="J127" i="34"/>
  <c r="I127" i="34"/>
  <c r="K126" i="34"/>
  <c r="J126" i="34"/>
  <c r="I126" i="34"/>
  <c r="K125" i="34"/>
  <c r="J125" i="34"/>
  <c r="I125" i="34"/>
  <c r="K124" i="34"/>
  <c r="J124" i="34"/>
  <c r="I124" i="34"/>
  <c r="K123" i="34"/>
  <c r="J123" i="34"/>
  <c r="I123" i="34"/>
  <c r="K122" i="34"/>
  <c r="J122" i="34"/>
  <c r="I122" i="34"/>
  <c r="K121" i="34"/>
  <c r="J121" i="34"/>
  <c r="I121" i="34"/>
  <c r="K120" i="34"/>
  <c r="J120" i="34"/>
  <c r="I120" i="34"/>
  <c r="K119" i="34"/>
  <c r="J119" i="34"/>
  <c r="I119" i="34"/>
  <c r="K118" i="34"/>
  <c r="J118" i="34"/>
  <c r="I118" i="34"/>
  <c r="K117" i="34"/>
  <c r="J117" i="34"/>
  <c r="I117" i="34"/>
  <c r="K116" i="34"/>
  <c r="J116" i="34"/>
  <c r="I116" i="34"/>
  <c r="K115" i="34"/>
  <c r="J115" i="34"/>
  <c r="I115" i="34"/>
  <c r="K114" i="34"/>
  <c r="J114" i="34"/>
  <c r="I114" i="34"/>
  <c r="K113" i="34"/>
  <c r="J113" i="34"/>
  <c r="I113" i="34"/>
  <c r="K112" i="34"/>
  <c r="J112" i="34"/>
  <c r="I112" i="34"/>
  <c r="K111" i="34"/>
  <c r="J111" i="34"/>
  <c r="I111" i="34"/>
  <c r="K110" i="34"/>
  <c r="J110" i="34"/>
  <c r="I110" i="34"/>
  <c r="K109" i="34"/>
  <c r="J109" i="34"/>
  <c r="I109" i="34"/>
  <c r="K108" i="34"/>
  <c r="J108" i="34"/>
  <c r="I108" i="34"/>
  <c r="K107" i="34"/>
  <c r="J107" i="34"/>
  <c r="I107" i="34"/>
  <c r="K106" i="34"/>
  <c r="J106" i="34"/>
  <c r="I106" i="34"/>
  <c r="K105" i="34"/>
  <c r="J105" i="34"/>
  <c r="I105" i="34"/>
  <c r="K104" i="34"/>
  <c r="J104" i="34"/>
  <c r="I104" i="34"/>
  <c r="K103" i="34"/>
  <c r="J103" i="34"/>
  <c r="I103" i="34"/>
  <c r="K102" i="34"/>
  <c r="J102" i="34"/>
  <c r="I102" i="34"/>
  <c r="K101" i="34"/>
  <c r="J101" i="34"/>
  <c r="I101" i="34"/>
  <c r="K100" i="34"/>
  <c r="J100" i="34"/>
  <c r="I100" i="34"/>
  <c r="K99" i="34"/>
  <c r="J99" i="34"/>
  <c r="I99" i="34"/>
  <c r="K98" i="34"/>
  <c r="J98" i="34"/>
  <c r="I98" i="34"/>
  <c r="K97" i="34"/>
  <c r="J97" i="34"/>
  <c r="I97" i="34"/>
  <c r="K96" i="34"/>
  <c r="J96" i="34"/>
  <c r="I96" i="34"/>
  <c r="K95" i="34"/>
  <c r="J95" i="34"/>
  <c r="I95" i="34"/>
  <c r="K94" i="34"/>
  <c r="J94" i="34"/>
  <c r="I94" i="34"/>
  <c r="K93" i="34"/>
  <c r="J93" i="34"/>
  <c r="I93" i="34"/>
  <c r="K92" i="34"/>
  <c r="J92" i="34"/>
  <c r="I92" i="34"/>
  <c r="K91" i="34"/>
  <c r="J91" i="34"/>
  <c r="I91" i="34"/>
  <c r="K90" i="34"/>
  <c r="J90" i="34"/>
  <c r="I90" i="34"/>
  <c r="K89" i="34"/>
  <c r="J89" i="34"/>
  <c r="I89" i="34"/>
  <c r="K88" i="34"/>
  <c r="J88" i="34"/>
  <c r="I88" i="34"/>
  <c r="K87" i="34"/>
  <c r="J87" i="34"/>
  <c r="I87" i="34"/>
  <c r="K86" i="34"/>
  <c r="J86" i="34"/>
  <c r="I86" i="34"/>
  <c r="K85" i="34"/>
  <c r="J85" i="34"/>
  <c r="I85" i="34"/>
  <c r="K84" i="34"/>
  <c r="J84" i="34"/>
  <c r="I84" i="34"/>
  <c r="K83" i="34"/>
  <c r="J83" i="34"/>
  <c r="I83" i="34"/>
  <c r="K82" i="34"/>
  <c r="J82" i="34"/>
  <c r="I82" i="34"/>
  <c r="K81" i="34"/>
  <c r="J81" i="34"/>
  <c r="I81" i="34"/>
  <c r="K80" i="34"/>
  <c r="J80" i="34"/>
  <c r="I80" i="34"/>
  <c r="K79" i="34"/>
  <c r="J79" i="34"/>
  <c r="I79" i="34"/>
  <c r="K78" i="34"/>
  <c r="J78" i="34"/>
  <c r="I78" i="34"/>
  <c r="K77" i="34"/>
  <c r="J77" i="34"/>
  <c r="I77" i="34"/>
  <c r="K76" i="34"/>
  <c r="J76" i="34"/>
  <c r="I76" i="34"/>
  <c r="K75" i="34"/>
  <c r="J75" i="34"/>
  <c r="I75" i="34"/>
  <c r="K74" i="34"/>
  <c r="J74" i="34"/>
  <c r="I74" i="34"/>
  <c r="K73" i="34"/>
  <c r="J73" i="34"/>
  <c r="I73" i="34"/>
  <c r="K72" i="34"/>
  <c r="J72" i="34"/>
  <c r="I72" i="34"/>
  <c r="K71" i="34"/>
  <c r="J71" i="34"/>
  <c r="I71" i="34"/>
  <c r="K70" i="34"/>
  <c r="J70" i="34"/>
  <c r="I70" i="34"/>
  <c r="K69" i="34"/>
  <c r="J69" i="34"/>
  <c r="I69" i="34"/>
  <c r="K68" i="34"/>
  <c r="J68" i="34"/>
  <c r="I68" i="34"/>
  <c r="K67" i="34"/>
  <c r="J67" i="34"/>
  <c r="I67" i="34"/>
  <c r="K66" i="34"/>
  <c r="J66" i="34"/>
  <c r="I66" i="34"/>
  <c r="K65" i="34"/>
  <c r="J65" i="34"/>
  <c r="I65" i="34"/>
  <c r="K63" i="34"/>
  <c r="J63" i="34"/>
  <c r="I63" i="34"/>
  <c r="K62" i="34"/>
  <c r="J62" i="34"/>
  <c r="I62" i="34"/>
  <c r="K61" i="34"/>
  <c r="J61" i="34"/>
  <c r="I61" i="34"/>
  <c r="K60" i="34"/>
  <c r="J60" i="34"/>
  <c r="I60" i="34"/>
  <c r="K59" i="34"/>
  <c r="J59" i="34"/>
  <c r="I59" i="34"/>
  <c r="K58" i="34"/>
  <c r="J58" i="34"/>
  <c r="I58" i="34"/>
  <c r="K57" i="34"/>
  <c r="J57" i="34"/>
  <c r="K56" i="34"/>
  <c r="J56" i="34"/>
  <c r="K55" i="34"/>
  <c r="J55" i="34"/>
  <c r="K54" i="34"/>
  <c r="J54" i="34"/>
  <c r="K53" i="34"/>
  <c r="J53" i="34"/>
  <c r="K52" i="34"/>
  <c r="J52" i="34"/>
  <c r="K51" i="34"/>
  <c r="J51" i="34"/>
  <c r="K50" i="34"/>
  <c r="J50" i="34"/>
  <c r="K49" i="34"/>
  <c r="J49" i="34"/>
  <c r="K48" i="34"/>
  <c r="J48" i="34"/>
  <c r="K47" i="34"/>
  <c r="J47" i="34"/>
  <c r="K46" i="34"/>
  <c r="J46" i="34"/>
  <c r="K45" i="34"/>
  <c r="J45" i="34"/>
  <c r="K44" i="34"/>
  <c r="J44" i="34"/>
  <c r="K43" i="34"/>
  <c r="J43" i="34"/>
  <c r="K42" i="34"/>
  <c r="J42" i="34"/>
  <c r="K41" i="34"/>
  <c r="J41" i="34"/>
  <c r="K40" i="34"/>
  <c r="J40" i="34"/>
  <c r="K39" i="34"/>
  <c r="J39" i="34"/>
  <c r="K38" i="34"/>
  <c r="J38" i="34"/>
  <c r="K37" i="34"/>
  <c r="J37" i="34"/>
  <c r="K36" i="34"/>
  <c r="J36" i="34"/>
  <c r="K35" i="34"/>
  <c r="J35" i="34"/>
  <c r="K34" i="34"/>
  <c r="J34" i="34"/>
  <c r="K33" i="34"/>
  <c r="J33" i="34"/>
  <c r="K32" i="34"/>
  <c r="J32" i="34"/>
  <c r="K31" i="34"/>
  <c r="J31" i="34"/>
  <c r="K30" i="34"/>
  <c r="J30" i="34"/>
  <c r="K29" i="34"/>
  <c r="J29" i="34"/>
  <c r="K28" i="34"/>
  <c r="J28" i="34"/>
  <c r="K27" i="34"/>
  <c r="J27" i="34"/>
  <c r="K26" i="34"/>
  <c r="J26" i="34"/>
  <c r="K25" i="34"/>
  <c r="J25" i="34"/>
  <c r="K24" i="34"/>
  <c r="J24" i="34"/>
  <c r="K23" i="34"/>
  <c r="J23" i="34"/>
  <c r="K22" i="34"/>
  <c r="J22" i="34"/>
  <c r="K21" i="34"/>
  <c r="J21" i="34"/>
  <c r="K20" i="34"/>
  <c r="J20" i="34"/>
  <c r="K19" i="34"/>
  <c r="J19" i="34"/>
  <c r="K18" i="34"/>
  <c r="J18" i="34"/>
  <c r="K17" i="34"/>
  <c r="J17" i="34"/>
  <c r="K16" i="34"/>
  <c r="J16" i="34"/>
  <c r="K15" i="34"/>
  <c r="J15" i="34"/>
  <c r="K14" i="34"/>
  <c r="J14" i="34"/>
  <c r="K13" i="34"/>
  <c r="J13" i="34"/>
  <c r="K12" i="34"/>
  <c r="J12" i="34"/>
  <c r="K11" i="34"/>
  <c r="J11" i="34"/>
  <c r="K10" i="34"/>
  <c r="J10" i="34"/>
  <c r="K9" i="34"/>
  <c r="J9" i="34"/>
  <c r="K8" i="34"/>
  <c r="J8" i="34"/>
  <c r="K7" i="34"/>
  <c r="J7" i="34"/>
  <c r="K6" i="34"/>
  <c r="J6" i="34"/>
  <c r="K5" i="34"/>
  <c r="J5" i="34"/>
  <c r="K4" i="34"/>
  <c r="J4" i="34"/>
  <c r="K3" i="34"/>
  <c r="J3" i="34"/>
  <c r="K2" i="34"/>
  <c r="J2" i="34"/>
  <c r="K1" i="34"/>
  <c r="J1" i="34"/>
  <c r="L87" i="22"/>
  <c r="L86" i="22"/>
  <c r="L81" i="22"/>
  <c r="L79" i="22"/>
  <c r="L78" i="22"/>
  <c r="L85" i="22"/>
  <c r="L83" i="22"/>
  <c r="L82" i="22"/>
  <c r="L88" i="22"/>
  <c r="L84" i="22"/>
  <c r="L80" i="22"/>
  <c r="F130" i="22"/>
  <c r="D130" i="22"/>
  <c r="I130" i="22"/>
  <c r="O130" i="22"/>
  <c r="I131" i="22"/>
  <c r="L130" i="22"/>
  <c r="L206" i="22"/>
  <c r="L224" i="22"/>
  <c r="L216" i="22"/>
  <c r="L208" i="22"/>
  <c r="J224" i="22"/>
  <c r="J216" i="22"/>
  <c r="J208" i="22"/>
  <c r="L229" i="22"/>
  <c r="L221" i="22"/>
  <c r="L213" i="22"/>
  <c r="N228" i="22"/>
  <c r="N220" i="22"/>
  <c r="N212" i="22"/>
  <c r="L209" i="22"/>
  <c r="J227" i="22"/>
  <c r="J223" i="22"/>
  <c r="J219" i="22"/>
  <c r="J215" i="22"/>
  <c r="J211" i="22"/>
  <c r="N205" i="22"/>
  <c r="L226" i="22"/>
  <c r="L218" i="22"/>
  <c r="L210" i="22"/>
  <c r="J226" i="22"/>
  <c r="J218" i="22"/>
  <c r="J210" i="22"/>
  <c r="L205" i="22"/>
  <c r="L223" i="22"/>
  <c r="L215" i="22"/>
  <c r="N230" i="22"/>
  <c r="N222" i="22"/>
  <c r="N214" i="22"/>
  <c r="N206" i="22"/>
  <c r="N227" i="22"/>
  <c r="N223" i="22"/>
  <c r="N219" i="22"/>
  <c r="N215" i="22"/>
  <c r="N211" i="22"/>
  <c r="J207" i="22"/>
  <c r="L228" i="22"/>
  <c r="L220" i="22"/>
  <c r="L212" i="22"/>
  <c r="J228" i="22"/>
  <c r="J220" i="22"/>
  <c r="J212" i="22"/>
  <c r="L207" i="22"/>
  <c r="L225" i="22"/>
  <c r="L217" i="22"/>
  <c r="J209" i="22"/>
  <c r="N224" i="22"/>
  <c r="N216" i="22"/>
  <c r="N208" i="22"/>
  <c r="J229" i="22"/>
  <c r="J225" i="22"/>
  <c r="J221" i="22"/>
  <c r="J217" i="22"/>
  <c r="J213" i="22"/>
  <c r="N207" i="22"/>
  <c r="L230" i="22"/>
  <c r="L222" i="22"/>
  <c r="L214" i="22"/>
  <c r="J230" i="22"/>
  <c r="J222" i="22"/>
  <c r="J214" i="22"/>
  <c r="J206" i="22"/>
  <c r="L227" i="22"/>
  <c r="L219" i="22"/>
  <c r="L211" i="22"/>
  <c r="N226" i="22"/>
  <c r="N218" i="22"/>
  <c r="N210" i="22"/>
  <c r="N229" i="22"/>
  <c r="N225" i="22"/>
  <c r="N221" i="22"/>
  <c r="N217" i="22"/>
  <c r="N213" i="22"/>
  <c r="N209" i="22"/>
  <c r="J205" i="22"/>
  <c r="DI82" i="37"/>
  <c r="DI80" i="37"/>
  <c r="DI78" i="37"/>
  <c r="DI76" i="37"/>
  <c r="DI74" i="37"/>
  <c r="DI72" i="37"/>
  <c r="DI70" i="37"/>
  <c r="DH67" i="37"/>
  <c r="DI66" i="37"/>
  <c r="DI64" i="37"/>
  <c r="DI62" i="37"/>
  <c r="DI60" i="37"/>
  <c r="DI58" i="37"/>
  <c r="DJ56" i="37"/>
  <c r="DJ54" i="37"/>
  <c r="DJ52" i="37"/>
  <c r="DJ50" i="37"/>
  <c r="DJ48" i="37"/>
  <c r="DJ46" i="37"/>
  <c r="DJ44" i="37"/>
  <c r="DJ42" i="37"/>
  <c r="DJ40" i="37"/>
  <c r="DJ38" i="37"/>
  <c r="DJ36" i="37"/>
  <c r="DJ34" i="37"/>
  <c r="DI81" i="37"/>
  <c r="DI79" i="37"/>
  <c r="DI77" i="37"/>
  <c r="DI75" i="37"/>
  <c r="DI73" i="37"/>
  <c r="DI71" i="37"/>
  <c r="DI68" i="37"/>
  <c r="DI67" i="37"/>
  <c r="DI65" i="37"/>
  <c r="DI63" i="37"/>
  <c r="DI61" i="37"/>
  <c r="DI59" i="37"/>
  <c r="DI57" i="37"/>
  <c r="DI55" i="37"/>
  <c r="DJ53" i="37"/>
  <c r="DJ51" i="37"/>
  <c r="DJ49" i="37"/>
  <c r="DJ47" i="37"/>
  <c r="DJ45" i="37"/>
  <c r="DJ43" i="37"/>
  <c r="DJ41" i="37"/>
  <c r="DJ39" i="37"/>
  <c r="DJ37" i="37"/>
  <c r="DJ35" i="37"/>
  <c r="DJ33" i="37"/>
  <c r="DI50" i="37"/>
  <c r="DH59" i="37"/>
  <c r="DI46" i="37"/>
  <c r="DH63" i="37"/>
  <c r="DI36" i="37"/>
  <c r="DI44" i="37"/>
  <c r="DI52" i="37"/>
  <c r="DH61" i="37"/>
  <c r="DI33" i="37"/>
  <c r="DI35" i="37"/>
  <c r="DI37" i="37"/>
  <c r="DI39" i="37"/>
  <c r="DI41" i="37"/>
  <c r="DI43" i="37"/>
  <c r="DI45" i="37"/>
  <c r="DI47" i="37"/>
  <c r="DI49" i="37"/>
  <c r="DI51" i="37"/>
  <c r="DI53" i="37"/>
  <c r="DH55" i="37"/>
  <c r="DH58" i="37"/>
  <c r="DH60" i="37"/>
  <c r="DH62" i="37"/>
  <c r="DH64" i="37"/>
  <c r="DH66" i="37"/>
  <c r="DH68" i="37"/>
  <c r="DJ69" i="37"/>
  <c r="DH33" i="37"/>
  <c r="DH37" i="37"/>
  <c r="DH41" i="37"/>
  <c r="DH45" i="37"/>
  <c r="DH49" i="37"/>
  <c r="DH53" i="37"/>
  <c r="DJ57" i="37"/>
  <c r="DJ60" i="37"/>
  <c r="DJ64" i="37"/>
  <c r="DJ68" i="37"/>
  <c r="DJ70" i="37"/>
  <c r="DJ71" i="37"/>
  <c r="DJ72" i="37"/>
  <c r="DJ73" i="37"/>
  <c r="DJ74" i="37"/>
  <c r="DJ75" i="37"/>
  <c r="DJ76" i="37"/>
  <c r="DJ77" i="37"/>
  <c r="DJ78" i="37"/>
  <c r="DJ79" i="37"/>
  <c r="DJ80" i="37"/>
  <c r="DJ81" i="37"/>
  <c r="DJ82" i="37"/>
  <c r="DI42" i="37"/>
  <c r="DI38" i="37"/>
  <c r="DI54" i="37"/>
  <c r="DI34" i="37"/>
  <c r="DI40" i="37"/>
  <c r="DI48" i="37"/>
  <c r="DI56" i="37"/>
  <c r="DH65" i="37"/>
  <c r="DH34" i="37"/>
  <c r="DH36" i="37"/>
  <c r="DH38" i="37"/>
  <c r="DH40" i="37"/>
  <c r="DH42" i="37"/>
  <c r="DH44" i="37"/>
  <c r="DH46" i="37"/>
  <c r="DH48" i="37"/>
  <c r="DH50" i="37"/>
  <c r="DH52" i="37"/>
  <c r="DH54" i="37"/>
  <c r="DH57" i="37"/>
  <c r="DJ59" i="37"/>
  <c r="DJ61" i="37"/>
  <c r="DJ63" i="37"/>
  <c r="DJ65" i="37"/>
  <c r="DJ67" i="37"/>
  <c r="DI69" i="37"/>
  <c r="DH69" i="37"/>
  <c r="DH35" i="37"/>
  <c r="DH39" i="37"/>
  <c r="DH43" i="37"/>
  <c r="DH47" i="37"/>
  <c r="DH51" i="37"/>
  <c r="DJ55" i="37"/>
  <c r="DJ58" i="37"/>
  <c r="DJ62" i="37"/>
  <c r="DJ66" i="37"/>
  <c r="DH70" i="37"/>
  <c r="DH71" i="37"/>
  <c r="DH72" i="37"/>
  <c r="DH73" i="37"/>
  <c r="DH74" i="37"/>
  <c r="DH75" i="37"/>
  <c r="DH76" i="37"/>
  <c r="DH77" i="37"/>
  <c r="DH78" i="37"/>
  <c r="DH79" i="37"/>
  <c r="DH80" i="37"/>
  <c r="DH81" i="37"/>
  <c r="DH82" i="37"/>
  <c r="DH56" i="37"/>
  <c r="AV22" i="5"/>
  <c r="AX22" i="5"/>
  <c r="AW23" i="5"/>
  <c r="AV24" i="5"/>
  <c r="AX24" i="5"/>
  <c r="AW25" i="5"/>
  <c r="AV26" i="5"/>
  <c r="AX26" i="5"/>
  <c r="AW27" i="5"/>
  <c r="AV28" i="5"/>
  <c r="AV23" i="5"/>
  <c r="AW24" i="5"/>
  <c r="AX25" i="5"/>
  <c r="AV27" i="5"/>
  <c r="AW28" i="5"/>
  <c r="AV29" i="5"/>
  <c r="AX29" i="5"/>
  <c r="AW30" i="5"/>
  <c r="AV31" i="5"/>
  <c r="AX31" i="5"/>
  <c r="AW32" i="5"/>
  <c r="AV33" i="5"/>
  <c r="AX33" i="5"/>
  <c r="AW34" i="5"/>
  <c r="AV35" i="5"/>
  <c r="AX35" i="5"/>
  <c r="AW36" i="5"/>
  <c r="AV37" i="5"/>
  <c r="AX37" i="5"/>
  <c r="AW38" i="5"/>
  <c r="AV39" i="5"/>
  <c r="AX39" i="5"/>
  <c r="AW40" i="5"/>
  <c r="AV41" i="5"/>
  <c r="AX41" i="5"/>
  <c r="AW42" i="5"/>
  <c r="AV43" i="5"/>
  <c r="AX43" i="5"/>
  <c r="AW44" i="5"/>
  <c r="AV45" i="5"/>
  <c r="AX45" i="5"/>
  <c r="AW46" i="5"/>
  <c r="AV47" i="5"/>
  <c r="AX47" i="5"/>
  <c r="AW48" i="5"/>
  <c r="AV49" i="5"/>
  <c r="AX49" i="5"/>
  <c r="AW50" i="5"/>
  <c r="AV51" i="5"/>
  <c r="AX51" i="5"/>
  <c r="AX21" i="5"/>
  <c r="AW21" i="5"/>
  <c r="AW22" i="5"/>
  <c r="AX23" i="5"/>
  <c r="AV25" i="5"/>
  <c r="AW26" i="5"/>
  <c r="AX27" i="5"/>
  <c r="AX28" i="5"/>
  <c r="AW29" i="5"/>
  <c r="AV30" i="5"/>
  <c r="AX30" i="5"/>
  <c r="AW31" i="5"/>
  <c r="AV32" i="5"/>
  <c r="AX32" i="5"/>
  <c r="AW33" i="5"/>
  <c r="AV34" i="5"/>
  <c r="AX34" i="5"/>
  <c r="AW35" i="5"/>
  <c r="AV36" i="5"/>
  <c r="AX36" i="5"/>
  <c r="AW37" i="5"/>
  <c r="AV38" i="5"/>
  <c r="AX38" i="5"/>
  <c r="AW39" i="5"/>
  <c r="AV40" i="5"/>
  <c r="AX40" i="5"/>
  <c r="AW41" i="5"/>
  <c r="AV42" i="5"/>
  <c r="AW43" i="5"/>
  <c r="AX44" i="5"/>
  <c r="AV46" i="5"/>
  <c r="AW47" i="5"/>
  <c r="AX48" i="5"/>
  <c r="AV50" i="5"/>
  <c r="AW51" i="5"/>
  <c r="AV21" i="5"/>
  <c r="AX42" i="5"/>
  <c r="AV44" i="5"/>
  <c r="AW45" i="5"/>
  <c r="AX46" i="5"/>
  <c r="AV48" i="5"/>
  <c r="AW49" i="5"/>
  <c r="AX50" i="5"/>
  <c r="D131" i="22"/>
  <c r="I112" i="22"/>
  <c r="G112" i="22"/>
  <c r="N204" i="22"/>
  <c r="J204" i="22"/>
  <c r="L204" i="22"/>
  <c r="G67" i="22"/>
  <c r="DH83" i="37"/>
  <c r="DJ83" i="37"/>
  <c r="DI83" i="37"/>
  <c r="N135" i="31"/>
  <c r="M135" i="31"/>
  <c r="J135" i="31"/>
  <c r="I135" i="31"/>
  <c r="J124" i="31"/>
  <c r="I124" i="31"/>
  <c r="J91" i="31"/>
  <c r="I91" i="31"/>
  <c r="J80" i="31"/>
  <c r="I80" i="31"/>
  <c r="J47" i="31"/>
  <c r="I47" i="31"/>
  <c r="J36" i="31"/>
  <c r="I36" i="31"/>
  <c r="J25" i="31"/>
  <c r="I25" i="31"/>
  <c r="N303" i="31"/>
  <c r="M303" i="31"/>
  <c r="J303" i="31"/>
  <c r="I303" i="31"/>
  <c r="N302" i="31"/>
  <c r="M302" i="31"/>
  <c r="J302" i="31"/>
  <c r="I302" i="31"/>
  <c r="N301" i="31"/>
  <c r="M301" i="31"/>
  <c r="J301" i="31"/>
  <c r="I301" i="31"/>
  <c r="N300" i="31"/>
  <c r="M300" i="31"/>
  <c r="J300" i="31"/>
  <c r="I300" i="31"/>
  <c r="N299" i="31"/>
  <c r="M299" i="31"/>
  <c r="J299" i="31"/>
  <c r="I299" i="31"/>
  <c r="N298" i="31"/>
  <c r="M298" i="31"/>
  <c r="J298" i="31"/>
  <c r="I298" i="31"/>
  <c r="J296" i="31"/>
  <c r="I296" i="31"/>
  <c r="N295" i="31"/>
  <c r="M295" i="31"/>
  <c r="J295" i="31"/>
  <c r="I295" i="31"/>
  <c r="N294" i="31"/>
  <c r="M294" i="31"/>
  <c r="J294" i="31"/>
  <c r="I294" i="31"/>
  <c r="N293" i="31"/>
  <c r="M293" i="31"/>
  <c r="J293" i="31"/>
  <c r="I293" i="31"/>
  <c r="N292" i="31"/>
  <c r="M292" i="31"/>
  <c r="J292" i="31"/>
  <c r="I292" i="31"/>
  <c r="N291" i="31"/>
  <c r="M291" i="31"/>
  <c r="J291" i="31"/>
  <c r="I291" i="31"/>
  <c r="N290" i="31"/>
  <c r="M290" i="31"/>
  <c r="J290" i="31"/>
  <c r="I290" i="31"/>
  <c r="J288" i="31"/>
  <c r="I288" i="31"/>
  <c r="J287" i="31"/>
  <c r="I287" i="31"/>
  <c r="J286" i="31"/>
  <c r="I286" i="31"/>
  <c r="J285" i="31"/>
  <c r="I285" i="31"/>
  <c r="J284" i="31"/>
  <c r="I284" i="31"/>
  <c r="J283" i="31"/>
  <c r="I283" i="31"/>
  <c r="J282" i="31"/>
  <c r="I282" i="31"/>
  <c r="J280" i="31"/>
  <c r="I280" i="31"/>
  <c r="J279" i="31"/>
  <c r="I279" i="31"/>
  <c r="J278" i="31"/>
  <c r="I278" i="31"/>
  <c r="J277" i="31"/>
  <c r="I277" i="31"/>
  <c r="J276" i="31"/>
  <c r="I276" i="31"/>
  <c r="J275" i="31"/>
  <c r="I275" i="31"/>
  <c r="J274" i="31"/>
  <c r="I274" i="31"/>
  <c r="J272" i="31"/>
  <c r="I272" i="31"/>
  <c r="N271" i="31"/>
  <c r="M271" i="31"/>
  <c r="J271" i="31"/>
  <c r="I271" i="31"/>
  <c r="N270" i="31"/>
  <c r="M270" i="31"/>
  <c r="J270" i="31"/>
  <c r="I270" i="31"/>
  <c r="N269" i="31"/>
  <c r="M269" i="31"/>
  <c r="J269" i="31"/>
  <c r="I269" i="31"/>
  <c r="N268" i="31"/>
  <c r="M268" i="31"/>
  <c r="J268" i="31"/>
  <c r="I268" i="31"/>
  <c r="N267" i="31"/>
  <c r="M267" i="31"/>
  <c r="J267" i="31"/>
  <c r="I267" i="31"/>
  <c r="N266" i="31"/>
  <c r="M266" i="31"/>
  <c r="J266" i="31"/>
  <c r="I266" i="31"/>
  <c r="N263" i="31"/>
  <c r="M263" i="31"/>
  <c r="J263" i="31"/>
  <c r="I263" i="31"/>
  <c r="N262" i="31"/>
  <c r="M262" i="31"/>
  <c r="J262" i="31"/>
  <c r="I262" i="31"/>
  <c r="N261" i="31"/>
  <c r="M261" i="31"/>
  <c r="J261" i="31"/>
  <c r="I261" i="31"/>
  <c r="N260" i="31"/>
  <c r="M260" i="31"/>
  <c r="J260" i="31"/>
  <c r="I260" i="31"/>
  <c r="N259" i="31"/>
  <c r="M259" i="31"/>
  <c r="J259" i="31"/>
  <c r="I259" i="31"/>
  <c r="N258" i="31"/>
  <c r="M258" i="31"/>
  <c r="J258" i="31"/>
  <c r="I258" i="31"/>
  <c r="J240" i="31"/>
  <c r="I240" i="31"/>
  <c r="N239" i="31"/>
  <c r="M239" i="31"/>
  <c r="N238" i="31"/>
  <c r="M238" i="31"/>
  <c r="N237" i="31"/>
  <c r="M237" i="31"/>
  <c r="N236" i="31"/>
  <c r="M236" i="31"/>
  <c r="N235" i="31"/>
  <c r="M235" i="31"/>
  <c r="N234" i="31"/>
  <c r="M234" i="31"/>
  <c r="N233" i="31"/>
  <c r="M233" i="31"/>
  <c r="N232" i="31"/>
  <c r="M232" i="31"/>
  <c r="N231" i="31"/>
  <c r="M231" i="31"/>
  <c r="J229" i="31"/>
  <c r="I229" i="31"/>
  <c r="N228" i="31"/>
  <c r="M228" i="31"/>
  <c r="N227" i="31"/>
  <c r="M227" i="31"/>
  <c r="N226" i="31"/>
  <c r="M226" i="31"/>
  <c r="N225" i="31"/>
  <c r="M225" i="31"/>
  <c r="N224" i="31"/>
  <c r="M224" i="31"/>
  <c r="N223" i="31"/>
  <c r="M223" i="31"/>
  <c r="N222" i="31"/>
  <c r="M222" i="31"/>
  <c r="N221" i="31"/>
  <c r="M221" i="31"/>
  <c r="N220" i="31"/>
  <c r="M220" i="31"/>
  <c r="J218" i="31"/>
  <c r="I218" i="31"/>
  <c r="N217" i="31"/>
  <c r="M217" i="31"/>
  <c r="J217" i="31"/>
  <c r="I217" i="31"/>
  <c r="N216" i="31"/>
  <c r="M216" i="31"/>
  <c r="J216" i="31"/>
  <c r="I216" i="31"/>
  <c r="N215" i="31"/>
  <c r="M215" i="31"/>
  <c r="J215" i="31"/>
  <c r="I215" i="31"/>
  <c r="N214" i="31"/>
  <c r="M214" i="31"/>
  <c r="J214" i="31"/>
  <c r="I214" i="31"/>
  <c r="N213" i="31"/>
  <c r="M213" i="31"/>
  <c r="J213" i="31"/>
  <c r="I213" i="31"/>
  <c r="N212" i="31"/>
  <c r="M212" i="31"/>
  <c r="J212" i="31"/>
  <c r="I212" i="31"/>
  <c r="J209" i="31"/>
  <c r="I209" i="31"/>
  <c r="N208" i="31"/>
  <c r="M208" i="31"/>
  <c r="J208" i="31"/>
  <c r="I208" i="31"/>
  <c r="N207" i="31"/>
  <c r="M207" i="31"/>
  <c r="J207" i="31"/>
  <c r="I207" i="31"/>
  <c r="N206" i="31"/>
  <c r="M206" i="31"/>
  <c r="J206" i="31"/>
  <c r="I206" i="31"/>
  <c r="N205" i="31"/>
  <c r="M205" i="31"/>
  <c r="J205" i="31"/>
  <c r="I205" i="31"/>
  <c r="N204" i="31"/>
  <c r="M204" i="31"/>
  <c r="J204" i="31"/>
  <c r="I204" i="31"/>
  <c r="N203" i="31"/>
  <c r="M203" i="31"/>
  <c r="J203" i="31"/>
  <c r="I203" i="31"/>
  <c r="J201" i="31"/>
  <c r="I201" i="31"/>
  <c r="N200" i="31"/>
  <c r="M200" i="31"/>
  <c r="N199" i="31"/>
  <c r="M199" i="31"/>
  <c r="N198" i="31"/>
  <c r="M198" i="31"/>
  <c r="N197" i="31"/>
  <c r="M197" i="31"/>
  <c r="N196" i="31"/>
  <c r="M196" i="31"/>
  <c r="N195" i="31"/>
  <c r="M195" i="31"/>
  <c r="N194" i="31"/>
  <c r="M194" i="31"/>
  <c r="N193" i="31"/>
  <c r="M193" i="31"/>
  <c r="N192" i="31"/>
  <c r="M192" i="31"/>
  <c r="J190" i="31"/>
  <c r="I190" i="31"/>
  <c r="N189" i="31"/>
  <c r="M189" i="31"/>
  <c r="N188" i="31"/>
  <c r="M188" i="31"/>
  <c r="N187" i="31"/>
  <c r="M187" i="31"/>
  <c r="N186" i="31"/>
  <c r="M186" i="31"/>
  <c r="N185" i="31"/>
  <c r="M185" i="31"/>
  <c r="N184" i="31"/>
  <c r="M184" i="31"/>
  <c r="N183" i="31"/>
  <c r="M183" i="31"/>
  <c r="N182" i="31"/>
  <c r="M182" i="31"/>
  <c r="N181" i="31"/>
  <c r="M181" i="31"/>
  <c r="N156" i="31"/>
  <c r="M156" i="31"/>
  <c r="N155" i="31"/>
  <c r="M155" i="31"/>
  <c r="N154" i="31"/>
  <c r="M154" i="31"/>
  <c r="N153" i="31"/>
  <c r="M153" i="31"/>
  <c r="N152" i="31"/>
  <c r="M152" i="31"/>
  <c r="N151" i="31"/>
  <c r="M151" i="31"/>
  <c r="N150" i="31"/>
  <c r="M150" i="31"/>
  <c r="N149" i="31"/>
  <c r="M149" i="31"/>
  <c r="N148" i="31"/>
  <c r="M148" i="31"/>
  <c r="J146" i="31"/>
  <c r="I146" i="31"/>
  <c r="N145" i="31"/>
  <c r="M145" i="31"/>
  <c r="N144" i="31"/>
  <c r="M144" i="31"/>
  <c r="N143" i="31"/>
  <c r="M143" i="31"/>
  <c r="N142" i="31"/>
  <c r="M142" i="31"/>
  <c r="N141" i="31"/>
  <c r="M141" i="31"/>
  <c r="N140" i="31"/>
  <c r="M140" i="31"/>
  <c r="N139" i="31"/>
  <c r="M139" i="31"/>
  <c r="N138" i="31"/>
  <c r="M138" i="31"/>
  <c r="N137" i="31"/>
  <c r="M137" i="31"/>
  <c r="N112" i="31"/>
  <c r="M112" i="31"/>
  <c r="N111" i="31"/>
  <c r="M111" i="31"/>
  <c r="N110" i="31"/>
  <c r="M110" i="31"/>
  <c r="N109" i="31"/>
  <c r="M109" i="31"/>
  <c r="N108" i="31"/>
  <c r="M108" i="31"/>
  <c r="N107" i="31"/>
  <c r="M107" i="31"/>
  <c r="N106" i="31"/>
  <c r="M106" i="31"/>
  <c r="N105" i="31"/>
  <c r="M105" i="31"/>
  <c r="N104" i="31"/>
  <c r="M104" i="31"/>
  <c r="N102" i="31"/>
  <c r="M102" i="31"/>
  <c r="J102" i="31"/>
  <c r="I102" i="31"/>
  <c r="N101" i="31"/>
  <c r="M101" i="31"/>
  <c r="N100" i="31"/>
  <c r="M100" i="31"/>
  <c r="N99" i="31"/>
  <c r="M99" i="31"/>
  <c r="N98" i="31"/>
  <c r="M98" i="31"/>
  <c r="N97" i="31"/>
  <c r="M97" i="31"/>
  <c r="N96" i="31"/>
  <c r="M96" i="31"/>
  <c r="N95" i="31"/>
  <c r="M95" i="31"/>
  <c r="N94" i="31"/>
  <c r="M94" i="31"/>
  <c r="N93" i="31"/>
  <c r="M93" i="31"/>
  <c r="N68" i="31"/>
  <c r="M68" i="31"/>
  <c r="N67" i="31"/>
  <c r="M67" i="31"/>
  <c r="N66" i="31"/>
  <c r="M66" i="31"/>
  <c r="N65" i="31"/>
  <c r="M65" i="31"/>
  <c r="N64" i="31"/>
  <c r="M64" i="31"/>
  <c r="N63" i="31"/>
  <c r="M63" i="31"/>
  <c r="N62" i="31"/>
  <c r="M62" i="31"/>
  <c r="N61" i="31"/>
  <c r="M61" i="31"/>
  <c r="N60" i="31"/>
  <c r="M60" i="31"/>
  <c r="N57" i="31"/>
  <c r="N56" i="31"/>
  <c r="M56" i="31"/>
  <c r="N55" i="31"/>
  <c r="M55" i="31"/>
  <c r="N54" i="31"/>
  <c r="M54" i="31"/>
  <c r="N53" i="31"/>
  <c r="M53" i="31"/>
  <c r="N52" i="31"/>
  <c r="M52" i="31"/>
  <c r="N51" i="31"/>
  <c r="M51" i="31"/>
  <c r="N50" i="31"/>
  <c r="M50" i="31"/>
  <c r="N49" i="31"/>
  <c r="M49" i="31"/>
  <c r="N24" i="31"/>
  <c r="M24" i="31"/>
  <c r="N23" i="31"/>
  <c r="M23" i="31"/>
  <c r="N22" i="31"/>
  <c r="M22" i="31"/>
  <c r="N21" i="31"/>
  <c r="M21" i="31"/>
  <c r="N20" i="31"/>
  <c r="M20" i="31"/>
  <c r="N19" i="31"/>
  <c r="M19" i="31"/>
  <c r="N18" i="31"/>
  <c r="M18" i="31"/>
  <c r="N17" i="31"/>
  <c r="M17" i="31"/>
  <c r="J14" i="31"/>
  <c r="I14" i="31"/>
  <c r="N13" i="31"/>
  <c r="M13" i="31"/>
  <c r="N12" i="31"/>
  <c r="M12" i="31"/>
  <c r="N11" i="31"/>
  <c r="M11" i="31"/>
  <c r="N10" i="31"/>
  <c r="M10" i="31"/>
  <c r="N9" i="31"/>
  <c r="M9" i="31"/>
  <c r="N8" i="31"/>
  <c r="M8" i="31"/>
  <c r="N7" i="31"/>
  <c r="M7" i="31"/>
  <c r="N6" i="31"/>
  <c r="M6" i="31"/>
  <c r="N5" i="31"/>
  <c r="M5" i="31"/>
  <c r="H64" i="19"/>
  <c r="D61" i="19"/>
  <c r="D62" i="19"/>
  <c r="D60" i="19"/>
  <c r="H9" i="6"/>
  <c r="F9" i="6"/>
  <c r="E9" i="6"/>
  <c r="B9" i="6"/>
  <c r="B10" i="6"/>
  <c r="H242" i="10"/>
  <c r="H241" i="10"/>
  <c r="H240" i="10"/>
  <c r="H239" i="10"/>
  <c r="H238" i="10"/>
  <c r="H237" i="10"/>
  <c r="H236" i="10"/>
  <c r="H235" i="10"/>
  <c r="H232" i="10"/>
  <c r="H231" i="10"/>
  <c r="H230" i="10"/>
  <c r="H229" i="10"/>
  <c r="H228" i="10"/>
  <c r="H227" i="10"/>
  <c r="H226" i="10"/>
  <c r="H225" i="10"/>
  <c r="H222" i="10"/>
  <c r="H221" i="10"/>
  <c r="H220" i="10"/>
  <c r="H219" i="10"/>
  <c r="H218" i="10"/>
  <c r="H217" i="10"/>
  <c r="H216" i="10"/>
  <c r="H215" i="10"/>
  <c r="H212" i="10"/>
  <c r="H211" i="10"/>
  <c r="H210" i="10"/>
  <c r="H209" i="10"/>
  <c r="H208" i="10"/>
  <c r="H207" i="10"/>
  <c r="H206" i="10"/>
  <c r="H205" i="10"/>
  <c r="H202" i="10"/>
  <c r="H201" i="10"/>
  <c r="H200" i="10"/>
  <c r="H199" i="10"/>
  <c r="H198" i="10"/>
  <c r="H197" i="10"/>
  <c r="H196" i="10"/>
  <c r="H195" i="10"/>
  <c r="H192" i="10"/>
  <c r="H191" i="10"/>
  <c r="H190" i="10"/>
  <c r="H189" i="10"/>
  <c r="H188" i="10"/>
  <c r="H187" i="10"/>
  <c r="H74" i="10"/>
  <c r="H73" i="10"/>
  <c r="H72" i="10"/>
  <c r="H71" i="10"/>
  <c r="H68" i="10"/>
  <c r="H67" i="10"/>
  <c r="H66" i="10"/>
  <c r="H65" i="10"/>
  <c r="H50" i="10"/>
  <c r="H49" i="10"/>
  <c r="H48" i="10"/>
  <c r="H47" i="10"/>
  <c r="H44" i="10"/>
  <c r="H43" i="10"/>
  <c r="H42" i="10"/>
  <c r="H41" i="10"/>
  <c r="H26" i="10"/>
  <c r="H25" i="10"/>
  <c r="H24" i="10"/>
  <c r="H23" i="10"/>
  <c r="H20" i="10"/>
  <c r="H19" i="10"/>
  <c r="H18" i="10"/>
  <c r="H17" i="10"/>
  <c r="H134" i="10"/>
  <c r="H133" i="10"/>
  <c r="H132" i="10"/>
  <c r="H131" i="10"/>
  <c r="H128" i="10"/>
  <c r="H127" i="10"/>
  <c r="H126" i="10"/>
  <c r="H125" i="10"/>
  <c r="H182" i="10"/>
  <c r="H181" i="10"/>
  <c r="H180" i="10"/>
  <c r="H179" i="10"/>
  <c r="H176" i="10"/>
  <c r="H175" i="10"/>
  <c r="H174" i="10"/>
  <c r="H173" i="10"/>
  <c r="H170" i="10"/>
  <c r="H169" i="10"/>
  <c r="H168" i="10"/>
  <c r="H167" i="10"/>
  <c r="H164" i="10"/>
  <c r="H163" i="10"/>
  <c r="H162" i="10"/>
  <c r="H161" i="10"/>
  <c r="H158" i="10"/>
  <c r="H157" i="10"/>
  <c r="H156" i="10"/>
  <c r="H155" i="10"/>
  <c r="H152" i="10"/>
  <c r="H151" i="10"/>
  <c r="H150" i="10"/>
  <c r="H149" i="10"/>
  <c r="H146" i="10"/>
  <c r="H145" i="10"/>
  <c r="H144" i="10"/>
  <c r="H143" i="10"/>
  <c r="H140" i="10"/>
  <c r="H139" i="10"/>
  <c r="H138" i="10"/>
  <c r="H137" i="10"/>
  <c r="H122" i="10"/>
  <c r="H121" i="10"/>
  <c r="H120" i="10"/>
  <c r="H119" i="10"/>
  <c r="H116" i="10"/>
  <c r="H115" i="10"/>
  <c r="H114" i="10"/>
  <c r="H113" i="10"/>
  <c r="H110" i="10"/>
  <c r="H109" i="10"/>
  <c r="H108" i="10"/>
  <c r="H107" i="10"/>
  <c r="H104" i="10"/>
  <c r="H103" i="10"/>
  <c r="H102" i="10"/>
  <c r="H101" i="10"/>
  <c r="H86" i="10"/>
  <c r="H85" i="10"/>
  <c r="H84" i="10"/>
  <c r="H83" i="10"/>
  <c r="H80" i="10"/>
  <c r="H79" i="10"/>
  <c r="H78" i="10"/>
  <c r="H77" i="10"/>
  <c r="H62" i="10"/>
  <c r="H61" i="10"/>
  <c r="H60" i="10"/>
  <c r="H59" i="10"/>
  <c r="H56" i="10"/>
  <c r="H55" i="10"/>
  <c r="H54" i="10"/>
  <c r="H53" i="10"/>
  <c r="H38" i="10"/>
  <c r="H37" i="10"/>
  <c r="H36" i="10"/>
  <c r="H35" i="10"/>
  <c r="H32" i="10"/>
  <c r="H31" i="10"/>
  <c r="H30" i="10"/>
  <c r="H29" i="10"/>
  <c r="H14" i="10"/>
  <c r="H13" i="10"/>
  <c r="H12" i="10"/>
  <c r="H11" i="10"/>
  <c r="H8" i="10"/>
  <c r="H7" i="10"/>
  <c r="H6" i="10"/>
  <c r="I235" i="10"/>
  <c r="I236" i="10"/>
  <c r="I237" i="10"/>
  <c r="I238" i="10"/>
  <c r="I239" i="10"/>
  <c r="I240" i="10"/>
  <c r="I241" i="10"/>
  <c r="I242" i="10"/>
  <c r="I231" i="10"/>
  <c r="I232" i="10"/>
  <c r="I230" i="10"/>
  <c r="I229" i="10"/>
  <c r="I228" i="10"/>
  <c r="I227" i="10"/>
  <c r="I226" i="10"/>
  <c r="I225" i="10"/>
  <c r="I215" i="10"/>
  <c r="I216" i="10"/>
  <c r="I217" i="10"/>
  <c r="I218" i="10"/>
  <c r="I219" i="10"/>
  <c r="I220" i="10"/>
  <c r="I221" i="10"/>
  <c r="I222" i="10"/>
  <c r="I212" i="10"/>
  <c r="I211" i="10"/>
  <c r="I210" i="10"/>
  <c r="I209" i="10"/>
  <c r="I208" i="10"/>
  <c r="I206" i="10"/>
  <c r="I207" i="10"/>
  <c r="I205" i="10"/>
  <c r="I195" i="10"/>
  <c r="I196" i="10"/>
  <c r="I197" i="10"/>
  <c r="I198" i="10"/>
  <c r="I199" i="10"/>
  <c r="I200" i="10"/>
  <c r="I201" i="10"/>
  <c r="I202" i="10"/>
  <c r="I192" i="10"/>
  <c r="I190" i="10"/>
  <c r="I187" i="10"/>
  <c r="I188" i="10"/>
  <c r="I186" i="10"/>
  <c r="I185" i="10"/>
  <c r="I191" i="10"/>
  <c r="I189" i="10"/>
  <c r="I68" i="10"/>
  <c r="I67" i="10"/>
  <c r="I66" i="10"/>
  <c r="I65" i="10"/>
  <c r="I47" i="10"/>
  <c r="I48" i="10"/>
  <c r="I49" i="10"/>
  <c r="I50" i="10"/>
  <c r="I44" i="10"/>
  <c r="I43" i="10"/>
  <c r="I42" i="10"/>
  <c r="I41" i="10"/>
  <c r="I23" i="10"/>
  <c r="I24" i="10"/>
  <c r="I25" i="10"/>
  <c r="I26" i="10"/>
  <c r="I20" i="10"/>
  <c r="I19" i="10"/>
  <c r="I18" i="10"/>
  <c r="I17" i="10"/>
  <c r="I131" i="10"/>
  <c r="I132" i="10"/>
  <c r="I133" i="10"/>
  <c r="I134" i="10"/>
  <c r="I128" i="10"/>
  <c r="I127" i="10"/>
  <c r="I126" i="10"/>
  <c r="I125" i="10"/>
  <c r="I179" i="10"/>
  <c r="I180" i="10"/>
  <c r="I181" i="10"/>
  <c r="I182" i="10"/>
  <c r="I176" i="10"/>
  <c r="I175" i="10"/>
  <c r="I174" i="10"/>
  <c r="I173" i="10"/>
  <c r="I167" i="10"/>
  <c r="I168" i="10"/>
  <c r="I169" i="10"/>
  <c r="I170" i="10"/>
  <c r="I164" i="10"/>
  <c r="I163" i="10"/>
  <c r="I162" i="10"/>
  <c r="I161" i="10"/>
  <c r="I155" i="10"/>
  <c r="I156" i="10"/>
  <c r="I157" i="10"/>
  <c r="I158" i="10"/>
  <c r="I152" i="10"/>
  <c r="I151" i="10"/>
  <c r="I150" i="10"/>
  <c r="I149" i="10"/>
  <c r="I143" i="10"/>
  <c r="I144" i="10"/>
  <c r="I145" i="10"/>
  <c r="I146" i="10"/>
  <c r="I137" i="10"/>
  <c r="I138" i="10"/>
  <c r="I139" i="10"/>
  <c r="I140" i="10"/>
  <c r="I119" i="10"/>
  <c r="I120" i="10"/>
  <c r="I121" i="10"/>
  <c r="I122" i="10"/>
  <c r="I116" i="10"/>
  <c r="I115" i="10"/>
  <c r="I114" i="10"/>
  <c r="I113" i="10"/>
  <c r="I107" i="10"/>
  <c r="I108" i="10"/>
  <c r="I109" i="10"/>
  <c r="I110" i="10"/>
  <c r="I104" i="10"/>
  <c r="I103" i="10"/>
  <c r="I102" i="10"/>
  <c r="I101" i="10"/>
  <c r="I83" i="10"/>
  <c r="I84" i="10"/>
  <c r="I85" i="10"/>
  <c r="I86" i="10"/>
  <c r="I59" i="10"/>
  <c r="I60" i="10"/>
  <c r="I61" i="10"/>
  <c r="I62" i="10"/>
  <c r="I56" i="10"/>
  <c r="I55" i="10"/>
  <c r="I54" i="10"/>
  <c r="I53" i="10"/>
  <c r="I35" i="10"/>
  <c r="I36" i="10"/>
  <c r="I37" i="10"/>
  <c r="I38" i="10"/>
  <c r="I32" i="10"/>
  <c r="I31" i="10"/>
  <c r="I30" i="10"/>
  <c r="I29" i="10"/>
  <c r="I11" i="10"/>
  <c r="I12" i="10"/>
  <c r="I13" i="10"/>
  <c r="I14" i="10"/>
  <c r="I7" i="10"/>
  <c r="I8" i="10"/>
  <c r="I6" i="10"/>
  <c r="I5" i="10"/>
  <c r="D6" i="29"/>
  <c r="D19" i="29"/>
  <c r="D32" i="29"/>
  <c r="E16" i="29"/>
  <c r="B15" i="29"/>
  <c r="E3" i="29"/>
  <c r="B2" i="29"/>
  <c r="E29" i="29"/>
  <c r="B28" i="29"/>
  <c r="G45" i="28"/>
  <c r="C42" i="28"/>
  <c r="C40" i="28"/>
  <c r="A40" i="28"/>
  <c r="A42" i="28"/>
  <c r="C38" i="28"/>
  <c r="C36" i="28"/>
  <c r="C34" i="28"/>
  <c r="C32" i="28"/>
  <c r="A32" i="28"/>
  <c r="A34" i="28"/>
  <c r="C30" i="28"/>
  <c r="C28" i="28"/>
  <c r="C26" i="28"/>
  <c r="C24" i="28"/>
  <c r="A24" i="28"/>
  <c r="A26" i="28"/>
  <c r="C22" i="28"/>
  <c r="C20" i="28"/>
  <c r="E33" i="29"/>
  <c r="E20" i="29"/>
  <c r="E7" i="29"/>
  <c r="J70" i="23"/>
  <c r="I70" i="23"/>
  <c r="F70" i="23"/>
  <c r="J69" i="23"/>
  <c r="I69" i="23"/>
  <c r="F69" i="23"/>
  <c r="J68" i="23"/>
  <c r="I68" i="23"/>
  <c r="F68" i="23"/>
  <c r="J67" i="23"/>
  <c r="I67" i="23"/>
  <c r="F67" i="23"/>
  <c r="J66" i="23"/>
  <c r="I66" i="23"/>
  <c r="F66" i="23"/>
  <c r="J65" i="23"/>
  <c r="I65" i="23"/>
  <c r="F65" i="23"/>
  <c r="J64" i="23"/>
  <c r="I64" i="23"/>
  <c r="F64" i="23"/>
  <c r="J63" i="23"/>
  <c r="I63" i="23"/>
  <c r="F63" i="23"/>
  <c r="J62" i="23"/>
  <c r="I62" i="23"/>
  <c r="F62" i="23"/>
  <c r="J61" i="23"/>
  <c r="I61" i="23"/>
  <c r="F61" i="23"/>
  <c r="J60" i="23"/>
  <c r="I60" i="23"/>
  <c r="F60" i="23"/>
  <c r="J59" i="23"/>
  <c r="I59" i="23"/>
  <c r="F59" i="23"/>
  <c r="J58" i="23"/>
  <c r="I58" i="23"/>
  <c r="F58" i="23"/>
  <c r="J57" i="23"/>
  <c r="I57" i="23"/>
  <c r="F57" i="23"/>
  <c r="J56" i="23"/>
  <c r="I56" i="23"/>
  <c r="F56" i="23"/>
  <c r="J55" i="23"/>
  <c r="I55" i="23"/>
  <c r="F55" i="23"/>
  <c r="J54" i="23"/>
  <c r="I54" i="23"/>
  <c r="F54" i="23"/>
  <c r="J53" i="23"/>
  <c r="I53" i="23"/>
  <c r="F53" i="23"/>
  <c r="J52" i="23"/>
  <c r="I52" i="23"/>
  <c r="F52" i="23"/>
  <c r="J51" i="23"/>
  <c r="I51" i="23"/>
  <c r="F51" i="23"/>
  <c r="J50" i="23"/>
  <c r="I50" i="23"/>
  <c r="F50" i="23"/>
  <c r="J49" i="23"/>
  <c r="I49" i="23"/>
  <c r="F49" i="23"/>
  <c r="J48" i="23"/>
  <c r="I48" i="23"/>
  <c r="F48" i="23"/>
  <c r="J47" i="23"/>
  <c r="I47" i="23"/>
  <c r="F47" i="23"/>
  <c r="J46" i="23"/>
  <c r="I46" i="23"/>
  <c r="F46" i="23"/>
  <c r="J45" i="23"/>
  <c r="I45" i="23"/>
  <c r="F45" i="23"/>
  <c r="J44" i="23"/>
  <c r="I44" i="23"/>
  <c r="F44" i="23"/>
  <c r="J43" i="23"/>
  <c r="I43" i="23"/>
  <c r="F43" i="23"/>
  <c r="J42" i="23"/>
  <c r="I42" i="23"/>
  <c r="F42" i="23"/>
  <c r="J41" i="23"/>
  <c r="I41" i="23"/>
  <c r="F41" i="23"/>
  <c r="J40" i="23"/>
  <c r="I40" i="23"/>
  <c r="F40" i="23"/>
  <c r="J39" i="23"/>
  <c r="I39" i="23"/>
  <c r="F39" i="23"/>
  <c r="J38" i="23"/>
  <c r="I38" i="23"/>
  <c r="F38" i="23"/>
  <c r="J37" i="23"/>
  <c r="I37" i="23"/>
  <c r="F37" i="23"/>
  <c r="J36" i="23"/>
  <c r="I36" i="23"/>
  <c r="F36" i="23"/>
  <c r="J35" i="23"/>
  <c r="I35" i="23"/>
  <c r="F35" i="23"/>
  <c r="J34" i="23"/>
  <c r="I34" i="23"/>
  <c r="F34" i="23"/>
  <c r="J33" i="23"/>
  <c r="I33" i="23"/>
  <c r="F33" i="23"/>
  <c r="J32" i="23"/>
  <c r="I32" i="23"/>
  <c r="F32" i="23"/>
  <c r="J31" i="23"/>
  <c r="I31" i="23"/>
  <c r="F31" i="23"/>
  <c r="J30" i="23"/>
  <c r="I30" i="23"/>
  <c r="F30" i="23"/>
  <c r="J29" i="23"/>
  <c r="I29" i="23"/>
  <c r="F29" i="23"/>
  <c r="J28" i="23"/>
  <c r="I28" i="23"/>
  <c r="F28" i="23"/>
  <c r="J27" i="23"/>
  <c r="I27" i="23"/>
  <c r="F27" i="23"/>
  <c r="J26" i="23"/>
  <c r="I26" i="23"/>
  <c r="F26" i="23"/>
  <c r="J25" i="23"/>
  <c r="I25" i="23"/>
  <c r="F25" i="23"/>
  <c r="J24" i="23"/>
  <c r="I24" i="23"/>
  <c r="F24" i="23"/>
  <c r="J23" i="23"/>
  <c r="I23" i="23"/>
  <c r="F23" i="23"/>
  <c r="J22" i="23"/>
  <c r="I22" i="23"/>
  <c r="F22" i="23"/>
  <c r="J21" i="23"/>
  <c r="I21" i="23"/>
  <c r="H21" i="23"/>
  <c r="F21" i="23"/>
  <c r="A22" i="23"/>
  <c r="A23" i="23"/>
  <c r="A24" i="23"/>
  <c r="A25" i="23"/>
  <c r="A26" i="23"/>
  <c r="A27" i="23"/>
  <c r="A28" i="23"/>
  <c r="A29" i="23"/>
  <c r="A30" i="23"/>
  <c r="A31" i="23"/>
  <c r="A32" i="23"/>
  <c r="A33" i="23"/>
  <c r="A34" i="23"/>
  <c r="A35" i="23"/>
  <c r="A36" i="23"/>
  <c r="A37" i="23"/>
  <c r="A38" i="23"/>
  <c r="A39" i="23"/>
  <c r="A40" i="23"/>
  <c r="A41" i="23"/>
  <c r="A42" i="23"/>
  <c r="A43" i="23"/>
  <c r="A44" i="23"/>
  <c r="A45" i="23"/>
  <c r="A46" i="23"/>
  <c r="A47" i="23"/>
  <c r="A48" i="23"/>
  <c r="A49" i="23"/>
  <c r="A50" i="23"/>
  <c r="A51" i="23"/>
  <c r="A52" i="23"/>
  <c r="A53" i="23"/>
  <c r="A54" i="23"/>
  <c r="A55" i="23"/>
  <c r="A56" i="23"/>
  <c r="A57" i="23"/>
  <c r="A58" i="23"/>
  <c r="A59" i="23"/>
  <c r="A60" i="23"/>
  <c r="A61" i="23"/>
  <c r="A62" i="23"/>
  <c r="A63" i="23"/>
  <c r="A64" i="23"/>
  <c r="A65" i="23"/>
  <c r="A66" i="23"/>
  <c r="A67" i="23"/>
  <c r="A68" i="23"/>
  <c r="A69" i="23"/>
  <c r="A70" i="23"/>
  <c r="I55" i="22"/>
  <c r="F58" i="22"/>
  <c r="I60" i="22"/>
  <c r="H186" i="10"/>
  <c r="H185" i="10"/>
  <c r="H5" i="10"/>
  <c r="H1" i="10"/>
  <c r="F10" i="6"/>
  <c r="H10" i="6"/>
  <c r="B11" i="6"/>
  <c r="F11" i="6"/>
  <c r="H11" i="6"/>
  <c r="B12" i="6"/>
  <c r="F12" i="6"/>
  <c r="H12" i="6"/>
  <c r="B13" i="6"/>
  <c r="F13" i="6"/>
  <c r="H13" i="6"/>
  <c r="B14" i="6"/>
  <c r="F14" i="6"/>
  <c r="H14" i="6"/>
  <c r="B15" i="6"/>
  <c r="F15" i="6"/>
  <c r="H15" i="6"/>
  <c r="B16" i="6"/>
  <c r="F16" i="6"/>
  <c r="H16" i="6"/>
  <c r="B17" i="6"/>
  <c r="F17" i="6"/>
  <c r="H17" i="6"/>
  <c r="B18" i="6"/>
  <c r="F18" i="6"/>
  <c r="H18" i="6"/>
  <c r="B19" i="6"/>
  <c r="F19" i="6"/>
  <c r="H19" i="6"/>
  <c r="B20" i="6"/>
  <c r="F20" i="6"/>
  <c r="H20" i="6"/>
  <c r="B21" i="6"/>
  <c r="F21" i="6"/>
  <c r="H21" i="6"/>
  <c r="B22" i="6"/>
  <c r="F22" i="6"/>
  <c r="H22" i="6"/>
  <c r="B23" i="6"/>
  <c r="F23" i="6"/>
  <c r="H23" i="6"/>
  <c r="B24" i="6"/>
  <c r="F24" i="6"/>
  <c r="H24" i="6"/>
  <c r="B25" i="6"/>
  <c r="F25" i="6"/>
  <c r="H25" i="6"/>
  <c r="B26" i="6"/>
  <c r="F26" i="6"/>
  <c r="H26" i="6"/>
  <c r="B27" i="6"/>
  <c r="F27" i="6"/>
  <c r="H27" i="6"/>
  <c r="B28" i="6"/>
  <c r="F28" i="6"/>
  <c r="H28" i="6"/>
  <c r="B29" i="6"/>
  <c r="F29" i="6"/>
  <c r="H29" i="6"/>
  <c r="B30" i="6"/>
  <c r="F30" i="6"/>
  <c r="H30" i="6"/>
  <c r="B31" i="6"/>
  <c r="F31" i="6"/>
  <c r="H31" i="6"/>
  <c r="B32" i="6"/>
  <c r="F32" i="6"/>
  <c r="H32" i="6"/>
  <c r="B33" i="6"/>
  <c r="F33" i="6"/>
  <c r="H33" i="6"/>
  <c r="B34" i="6"/>
  <c r="F34" i="6"/>
  <c r="H34" i="6"/>
  <c r="B35" i="6"/>
  <c r="F35" i="6"/>
  <c r="H35" i="6"/>
  <c r="B36" i="6"/>
  <c r="F36" i="6"/>
  <c r="H36" i="6"/>
  <c r="B37" i="6"/>
  <c r="F37" i="6"/>
  <c r="H37" i="6"/>
  <c r="B38" i="6"/>
  <c r="F38" i="6"/>
  <c r="H38" i="6"/>
  <c r="B39" i="6"/>
  <c r="F39" i="6"/>
  <c r="H39" i="6"/>
  <c r="B40" i="6"/>
  <c r="F40" i="6"/>
  <c r="H40" i="6"/>
  <c r="B41" i="6"/>
  <c r="F41" i="6"/>
  <c r="H41" i="6"/>
  <c r="B42" i="6"/>
  <c r="F42" i="6"/>
  <c r="H42" i="6"/>
  <c r="B43" i="6"/>
  <c r="F43" i="6"/>
  <c r="H43" i="6"/>
  <c r="B44" i="6"/>
  <c r="F44" i="6"/>
  <c r="H44" i="6"/>
  <c r="B45" i="6"/>
  <c r="F45" i="6"/>
  <c r="H45" i="6"/>
  <c r="B46" i="6"/>
  <c r="F46" i="6"/>
  <c r="H46" i="6"/>
  <c r="B47" i="6"/>
  <c r="F47" i="6"/>
  <c r="H47" i="6"/>
  <c r="B48" i="6"/>
  <c r="F48" i="6"/>
  <c r="H48" i="6"/>
  <c r="B49" i="6"/>
  <c r="F49" i="6"/>
  <c r="H49" i="6"/>
  <c r="B50" i="6"/>
  <c r="F50" i="6"/>
  <c r="H50" i="6"/>
  <c r="B51" i="6"/>
  <c r="F51" i="6"/>
  <c r="H51" i="6"/>
  <c r="B52" i="6"/>
  <c r="F52" i="6"/>
  <c r="H52" i="6"/>
  <c r="B53" i="6"/>
  <c r="F53" i="6"/>
  <c r="H53" i="6"/>
  <c r="B54" i="6"/>
  <c r="F54" i="6"/>
  <c r="H54" i="6"/>
  <c r="B55" i="6"/>
  <c r="F55" i="6"/>
  <c r="H55" i="6"/>
  <c r="B56" i="6"/>
  <c r="F56" i="6"/>
  <c r="H56" i="6"/>
  <c r="B57" i="6"/>
  <c r="F57" i="6"/>
  <c r="H57" i="6"/>
  <c r="B58" i="6"/>
  <c r="F58" i="6"/>
  <c r="H58" i="6"/>
  <c r="F10" i="19"/>
  <c r="H10" i="19"/>
  <c r="F11" i="19"/>
  <c r="H11" i="19"/>
  <c r="F12" i="19"/>
  <c r="H12" i="19"/>
  <c r="F13" i="19"/>
  <c r="H13" i="19"/>
  <c r="F14" i="19"/>
  <c r="H14" i="19"/>
  <c r="F15" i="19"/>
  <c r="H15" i="19"/>
  <c r="F16" i="19"/>
  <c r="H16" i="19"/>
  <c r="F17" i="19"/>
  <c r="H17" i="19"/>
  <c r="F18" i="19"/>
  <c r="H18" i="19"/>
  <c r="F19" i="19"/>
  <c r="H19" i="19"/>
  <c r="F20" i="19"/>
  <c r="H20" i="19"/>
  <c r="F21" i="19"/>
  <c r="H21" i="19"/>
  <c r="F22" i="19"/>
  <c r="H22" i="19"/>
  <c r="F23" i="19"/>
  <c r="H23" i="19"/>
  <c r="F24" i="19"/>
  <c r="H24" i="19"/>
  <c r="F25" i="19"/>
  <c r="H25" i="19"/>
  <c r="F26" i="19"/>
  <c r="H26" i="19"/>
  <c r="F27" i="19"/>
  <c r="H27" i="19"/>
  <c r="F28" i="19"/>
  <c r="H28" i="19"/>
  <c r="F29" i="19"/>
  <c r="H29" i="19"/>
  <c r="F30" i="19"/>
  <c r="H30" i="19"/>
  <c r="F31" i="19"/>
  <c r="H31" i="19"/>
  <c r="F32" i="19"/>
  <c r="H32" i="19"/>
  <c r="F33" i="19"/>
  <c r="H33" i="19"/>
  <c r="F34" i="19"/>
  <c r="H34" i="19"/>
  <c r="F35" i="19"/>
  <c r="H35" i="19"/>
  <c r="F36" i="19"/>
  <c r="H36" i="19"/>
  <c r="F37" i="19"/>
  <c r="H37" i="19"/>
  <c r="F38" i="19"/>
  <c r="H38" i="19"/>
  <c r="F39" i="19"/>
  <c r="H39" i="19"/>
  <c r="F40" i="19"/>
  <c r="H40" i="19"/>
  <c r="F41" i="19"/>
  <c r="H41" i="19"/>
  <c r="F42" i="19"/>
  <c r="H42" i="19"/>
  <c r="F43" i="19"/>
  <c r="H43" i="19"/>
  <c r="F44" i="19"/>
  <c r="H44" i="19"/>
  <c r="F45" i="19"/>
  <c r="H45" i="19"/>
  <c r="F46" i="19"/>
  <c r="H46" i="19"/>
  <c r="F47" i="19"/>
  <c r="H47" i="19"/>
  <c r="F48" i="19"/>
  <c r="H48" i="19"/>
  <c r="F49" i="19"/>
  <c r="H49" i="19"/>
  <c r="F50" i="19"/>
  <c r="H50" i="19"/>
  <c r="F51" i="19"/>
  <c r="H51" i="19"/>
  <c r="F52" i="19"/>
  <c r="H52" i="19"/>
  <c r="F53" i="19"/>
  <c r="H53" i="19"/>
  <c r="F54" i="19"/>
  <c r="H54" i="19"/>
  <c r="F55" i="19"/>
  <c r="H55" i="19"/>
  <c r="F56" i="19"/>
  <c r="H56" i="19"/>
  <c r="F57" i="19"/>
  <c r="H57" i="19"/>
  <c r="F58" i="19"/>
  <c r="H58" i="19"/>
  <c r="F43" i="18"/>
  <c r="H43" i="18"/>
  <c r="G31" i="19"/>
  <c r="J43" i="18"/>
  <c r="F44" i="18"/>
  <c r="H44" i="18"/>
  <c r="G32" i="19"/>
  <c r="J44" i="18"/>
  <c r="F36" i="18"/>
  <c r="H36" i="18"/>
  <c r="G24" i="19"/>
  <c r="J36" i="18"/>
  <c r="F37" i="18"/>
  <c r="H37" i="18"/>
  <c r="G25" i="19"/>
  <c r="J37" i="18"/>
  <c r="F38" i="18"/>
  <c r="H38" i="18"/>
  <c r="G26" i="19"/>
  <c r="J38" i="18"/>
  <c r="F39" i="18"/>
  <c r="H39" i="18"/>
  <c r="G27" i="19"/>
  <c r="J39" i="18"/>
  <c r="F40" i="18"/>
  <c r="H40" i="18"/>
  <c r="G28" i="19"/>
  <c r="J40" i="18"/>
  <c r="F41" i="18"/>
  <c r="H41" i="18"/>
  <c r="G29" i="19"/>
  <c r="J41" i="18"/>
  <c r="K6" i="19"/>
  <c r="D6" i="19"/>
  <c r="E9" i="19"/>
  <c r="H9" i="19"/>
  <c r="B9" i="19"/>
  <c r="D5" i="19"/>
  <c r="D4" i="19"/>
  <c r="D6" i="6"/>
  <c r="K6" i="6"/>
  <c r="H64" i="6"/>
  <c r="P36" i="23"/>
  <c r="R36" i="23"/>
  <c r="Q36" i="23"/>
  <c r="P23" i="23"/>
  <c r="Q23" i="23"/>
  <c r="R23" i="23"/>
  <c r="P31" i="23"/>
  <c r="R31" i="23"/>
  <c r="Q31" i="23"/>
  <c r="P39" i="23"/>
  <c r="Q39" i="23"/>
  <c r="R39" i="23"/>
  <c r="P47" i="23"/>
  <c r="Q47" i="23"/>
  <c r="R47" i="23"/>
  <c r="P55" i="23"/>
  <c r="Q55" i="23"/>
  <c r="R55" i="23"/>
  <c r="P63" i="23"/>
  <c r="Q63" i="23"/>
  <c r="R63" i="23"/>
  <c r="Q21" i="23"/>
  <c r="Q71" i="23"/>
  <c r="P21" i="23"/>
  <c r="P71" i="23"/>
  <c r="R21" i="23"/>
  <c r="R71" i="23"/>
  <c r="P26" i="23"/>
  <c r="R26" i="23"/>
  <c r="Q26" i="23"/>
  <c r="R34" i="23"/>
  <c r="P34" i="23"/>
  <c r="Q34" i="23"/>
  <c r="R42" i="23"/>
  <c r="Q42" i="23"/>
  <c r="P42" i="23"/>
  <c r="P50" i="23"/>
  <c r="Q50" i="23"/>
  <c r="R50" i="23"/>
  <c r="R58" i="23"/>
  <c r="Q58" i="23"/>
  <c r="P58" i="23"/>
  <c r="R66" i="23"/>
  <c r="Q66" i="23"/>
  <c r="P66" i="23"/>
  <c r="Q29" i="23"/>
  <c r="R29" i="23"/>
  <c r="P29" i="23"/>
  <c r="Q37" i="23"/>
  <c r="P37" i="23"/>
  <c r="R37" i="23"/>
  <c r="Q45" i="23"/>
  <c r="R45" i="23"/>
  <c r="P45" i="23"/>
  <c r="Q53" i="23"/>
  <c r="R53" i="23"/>
  <c r="P53" i="23"/>
  <c r="Q61" i="23"/>
  <c r="R61" i="23"/>
  <c r="P61" i="23"/>
  <c r="Q69" i="23"/>
  <c r="P69" i="23"/>
  <c r="R69" i="23"/>
  <c r="P24" i="23"/>
  <c r="Q24" i="23"/>
  <c r="R24" i="23"/>
  <c r="P32" i="23"/>
  <c r="R32" i="23"/>
  <c r="Q32" i="23"/>
  <c r="P40" i="23"/>
  <c r="Q40" i="23"/>
  <c r="R40" i="23"/>
  <c r="P48" i="23"/>
  <c r="R48" i="23"/>
  <c r="Q48" i="23"/>
  <c r="P56" i="23"/>
  <c r="Q56" i="23"/>
  <c r="R56" i="23"/>
  <c r="R64" i="23"/>
  <c r="Q64" i="23"/>
  <c r="P64" i="23"/>
  <c r="I71" i="23"/>
  <c r="I73" i="23"/>
  <c r="I74" i="23"/>
  <c r="Q27" i="23"/>
  <c r="R27" i="23"/>
  <c r="P27" i="23"/>
  <c r="R35" i="23"/>
  <c r="P35" i="23"/>
  <c r="Q35" i="23"/>
  <c r="R43" i="23"/>
  <c r="Q43" i="23"/>
  <c r="P43" i="23"/>
  <c r="R51" i="23"/>
  <c r="P51" i="23"/>
  <c r="Q51" i="23"/>
  <c r="Q59" i="23"/>
  <c r="R59" i="23"/>
  <c r="P59" i="23"/>
  <c r="P67" i="23"/>
  <c r="Q67" i="23"/>
  <c r="R67" i="23"/>
  <c r="Q22" i="23"/>
  <c r="P22" i="23"/>
  <c r="R22" i="23"/>
  <c r="Q30" i="23"/>
  <c r="P30" i="23"/>
  <c r="R30" i="23"/>
  <c r="P38" i="23"/>
  <c r="R38" i="23"/>
  <c r="Q38" i="23"/>
  <c r="Q46" i="23"/>
  <c r="R46" i="23"/>
  <c r="P46" i="23"/>
  <c r="Q54" i="23"/>
  <c r="P54" i="23"/>
  <c r="R54" i="23"/>
  <c r="Q62" i="23"/>
  <c r="P62" i="23"/>
  <c r="R62" i="23"/>
  <c r="P70" i="23"/>
  <c r="R70" i="23"/>
  <c r="Q70" i="23"/>
  <c r="R25" i="23"/>
  <c r="P25" i="23"/>
  <c r="Q25" i="23"/>
  <c r="P33" i="23"/>
  <c r="Q33" i="23"/>
  <c r="R33" i="23"/>
  <c r="P41" i="23"/>
  <c r="R41" i="23"/>
  <c r="Q41" i="23"/>
  <c r="I72" i="23"/>
  <c r="Q49" i="23"/>
  <c r="P49" i="23"/>
  <c r="R49" i="23"/>
  <c r="P57" i="23"/>
  <c r="Q57" i="23"/>
  <c r="R57" i="23"/>
  <c r="P65" i="23"/>
  <c r="Q65" i="23"/>
  <c r="R65" i="23"/>
  <c r="P28" i="23"/>
  <c r="R28" i="23"/>
  <c r="Q28" i="23"/>
  <c r="P44" i="23"/>
  <c r="Q44" i="23"/>
  <c r="R44" i="23"/>
  <c r="R52" i="23"/>
  <c r="Q52" i="23"/>
  <c r="P52" i="23"/>
  <c r="Q60" i="23"/>
  <c r="P60" i="23"/>
  <c r="R60" i="23"/>
  <c r="P68" i="23"/>
  <c r="Q68" i="23"/>
  <c r="R68" i="23"/>
  <c r="H22" i="23"/>
  <c r="I9" i="35"/>
  <c r="I9" i="6"/>
  <c r="J72" i="23"/>
  <c r="J71" i="23"/>
  <c r="I62" i="22"/>
  <c r="H63" i="3"/>
  <c r="F63" i="3"/>
  <c r="A63" i="3"/>
  <c r="U63" i="3"/>
  <c r="H58" i="3"/>
  <c r="F58" i="3"/>
  <c r="A58" i="3"/>
  <c r="U58" i="3"/>
  <c r="H53" i="3"/>
  <c r="F53" i="3"/>
  <c r="A53" i="3"/>
  <c r="U53" i="3"/>
  <c r="H48" i="3"/>
  <c r="A19" i="20"/>
  <c r="E19" i="20"/>
  <c r="E10" i="20"/>
  <c r="A10" i="20"/>
  <c r="E1" i="20"/>
  <c r="G21" i="20"/>
  <c r="G22" i="20"/>
  <c r="G23" i="20"/>
  <c r="G24" i="20"/>
  <c r="G25" i="20"/>
  <c r="G26" i="20"/>
  <c r="E21" i="20"/>
  <c r="E22" i="20"/>
  <c r="E23" i="20"/>
  <c r="E24" i="20"/>
  <c r="E25" i="20"/>
  <c r="E26" i="20"/>
  <c r="E27" i="20"/>
  <c r="G12" i="20"/>
  <c r="G13" i="20"/>
  <c r="G14" i="20"/>
  <c r="G15" i="20"/>
  <c r="G16" i="20"/>
  <c r="G17" i="20"/>
  <c r="E12" i="20"/>
  <c r="E13" i="20"/>
  <c r="E14" i="20"/>
  <c r="E15" i="20"/>
  <c r="E16" i="20"/>
  <c r="E17" i="20"/>
  <c r="E3" i="20"/>
  <c r="E4" i="20"/>
  <c r="E5" i="20"/>
  <c r="E6" i="20"/>
  <c r="E7" i="20"/>
  <c r="E8" i="20"/>
  <c r="E9" i="20"/>
  <c r="G2" i="20"/>
  <c r="G3" i="20"/>
  <c r="G4" i="20"/>
  <c r="G5" i="20"/>
  <c r="G6" i="20"/>
  <c r="G7" i="20"/>
  <c r="G8" i="20"/>
  <c r="C2" i="20"/>
  <c r="C3" i="20"/>
  <c r="C4" i="20"/>
  <c r="C5" i="20"/>
  <c r="C6" i="20"/>
  <c r="C7" i="20"/>
  <c r="C8" i="20"/>
  <c r="C12" i="20"/>
  <c r="C13" i="20"/>
  <c r="C14" i="20"/>
  <c r="C15" i="20"/>
  <c r="C16" i="20"/>
  <c r="C17" i="20"/>
  <c r="C21" i="20"/>
  <c r="C22" i="20"/>
  <c r="C23" i="20"/>
  <c r="C24" i="20"/>
  <c r="C25" i="20"/>
  <c r="C26" i="20"/>
  <c r="A21" i="20"/>
  <c r="A22" i="20"/>
  <c r="A23" i="20"/>
  <c r="A24" i="20"/>
  <c r="A25" i="20"/>
  <c r="A26" i="20"/>
  <c r="A27" i="20"/>
  <c r="A3" i="20"/>
  <c r="A4" i="20"/>
  <c r="A5" i="20"/>
  <c r="A6" i="20"/>
  <c r="A7" i="20"/>
  <c r="A8" i="20"/>
  <c r="A9" i="20"/>
  <c r="A12" i="20"/>
  <c r="A13" i="20"/>
  <c r="A14" i="20"/>
  <c r="A15" i="20"/>
  <c r="A16" i="20"/>
  <c r="A17" i="20"/>
  <c r="E26" i="3"/>
  <c r="E12" i="3"/>
  <c r="F48" i="3"/>
  <c r="A48" i="3"/>
  <c r="U48" i="3"/>
  <c r="U64" i="3"/>
  <c r="U65" i="3"/>
  <c r="U66" i="3"/>
  <c r="U67" i="3"/>
  <c r="U49" i="3"/>
  <c r="U50" i="3"/>
  <c r="U51" i="3"/>
  <c r="U52" i="3"/>
  <c r="U59" i="3"/>
  <c r="U60" i="3"/>
  <c r="U61" i="3"/>
  <c r="U62" i="3"/>
  <c r="U54" i="3"/>
  <c r="U55" i="3"/>
  <c r="U56" i="3"/>
  <c r="U57" i="3"/>
  <c r="H23" i="23"/>
  <c r="I10" i="35"/>
  <c r="E47" i="3"/>
  <c r="F9" i="19"/>
  <c r="H24" i="23"/>
  <c r="I11" i="35"/>
  <c r="P13" i="4"/>
  <c r="H70" i="18"/>
  <c r="G58" i="19"/>
  <c r="H69" i="18"/>
  <c r="G57" i="19"/>
  <c r="H68" i="18"/>
  <c r="G56" i="19"/>
  <c r="H67" i="18"/>
  <c r="G55" i="19"/>
  <c r="H66" i="18"/>
  <c r="G54" i="19"/>
  <c r="H65" i="18"/>
  <c r="G53" i="19"/>
  <c r="H64" i="18"/>
  <c r="G52" i="19"/>
  <c r="H63" i="18"/>
  <c r="G51" i="19"/>
  <c r="H62" i="18"/>
  <c r="G50" i="19"/>
  <c r="H61" i="18"/>
  <c r="G49" i="19"/>
  <c r="H60" i="18"/>
  <c r="G48" i="19"/>
  <c r="H59" i="18"/>
  <c r="G47" i="19"/>
  <c r="H58" i="18"/>
  <c r="G46" i="19"/>
  <c r="H57" i="18"/>
  <c r="G45" i="19"/>
  <c r="H56" i="18"/>
  <c r="G44" i="19"/>
  <c r="H55" i="18"/>
  <c r="G43" i="19"/>
  <c r="H54" i="18"/>
  <c r="G42" i="19"/>
  <c r="H53" i="18"/>
  <c r="G41" i="19"/>
  <c r="H52" i="18"/>
  <c r="G40" i="19"/>
  <c r="H51" i="18"/>
  <c r="G39" i="19"/>
  <c r="H50" i="18"/>
  <c r="G38" i="19"/>
  <c r="H49" i="18"/>
  <c r="G37" i="19"/>
  <c r="H48" i="18"/>
  <c r="G36" i="19"/>
  <c r="H47" i="18"/>
  <c r="G35" i="19"/>
  <c r="H46" i="18"/>
  <c r="G34" i="19"/>
  <c r="H45" i="18"/>
  <c r="G33" i="19"/>
  <c r="H42" i="18"/>
  <c r="G30" i="19"/>
  <c r="H35" i="18"/>
  <c r="G23" i="19"/>
  <c r="H34" i="18"/>
  <c r="G22" i="19"/>
  <c r="H33" i="18"/>
  <c r="G21" i="19"/>
  <c r="H32" i="18"/>
  <c r="G20" i="19"/>
  <c r="H31" i="18"/>
  <c r="G19" i="19"/>
  <c r="H30" i="18"/>
  <c r="G18" i="19"/>
  <c r="H29" i="18"/>
  <c r="G17" i="19"/>
  <c r="H28" i="18"/>
  <c r="G16" i="19"/>
  <c r="H27" i="18"/>
  <c r="G15" i="19"/>
  <c r="H26" i="18"/>
  <c r="G14" i="19"/>
  <c r="H25" i="18"/>
  <c r="G13" i="19"/>
  <c r="H24" i="18"/>
  <c r="G12" i="19"/>
  <c r="H23" i="18"/>
  <c r="G11" i="19"/>
  <c r="H21" i="18"/>
  <c r="G9" i="19"/>
  <c r="H22" i="18"/>
  <c r="G10" i="19"/>
  <c r="I21" i="18"/>
  <c r="E5" i="18"/>
  <c r="G5" i="18"/>
  <c r="H25" i="23"/>
  <c r="I12" i="35"/>
  <c r="I22" i="18"/>
  <c r="I10" i="19"/>
  <c r="I9" i="19"/>
  <c r="I10" i="6"/>
  <c r="H26" i="23"/>
  <c r="I13" i="35"/>
  <c r="I23" i="18"/>
  <c r="I11" i="19"/>
  <c r="I11" i="6"/>
  <c r="H27" i="23"/>
  <c r="I14" i="35"/>
  <c r="I24" i="18"/>
  <c r="I12" i="19"/>
  <c r="I12" i="6"/>
  <c r="J70" i="18"/>
  <c r="J69" i="18"/>
  <c r="J68" i="18"/>
  <c r="J67" i="18"/>
  <c r="J66" i="18"/>
  <c r="J65" i="18"/>
  <c r="J64" i="18"/>
  <c r="J63" i="18"/>
  <c r="J62" i="18"/>
  <c r="J61" i="18"/>
  <c r="J60" i="18"/>
  <c r="J59" i="18"/>
  <c r="J58" i="18"/>
  <c r="J57" i="18"/>
  <c r="J56" i="18"/>
  <c r="J55" i="18"/>
  <c r="J54" i="18"/>
  <c r="J53" i="18"/>
  <c r="J52" i="18"/>
  <c r="J51" i="18"/>
  <c r="J50" i="18"/>
  <c r="J49" i="18"/>
  <c r="J48" i="18"/>
  <c r="J47" i="18"/>
  <c r="J46" i="18"/>
  <c r="J45" i="18"/>
  <c r="J42" i="18"/>
  <c r="J35" i="18"/>
  <c r="J34" i="18"/>
  <c r="J33" i="18"/>
  <c r="J32" i="18"/>
  <c r="J31" i="18"/>
  <c r="J30" i="18"/>
  <c r="J29" i="18"/>
  <c r="J28" i="18"/>
  <c r="J27" i="18"/>
  <c r="J26" i="18"/>
  <c r="J25" i="18"/>
  <c r="J24" i="18"/>
  <c r="J23" i="18"/>
  <c r="J22" i="18"/>
  <c r="J21" i="18"/>
  <c r="F70" i="18"/>
  <c r="F69" i="18"/>
  <c r="F68" i="18"/>
  <c r="F67" i="18"/>
  <c r="F66" i="18"/>
  <c r="F65" i="18"/>
  <c r="F64" i="18"/>
  <c r="F63" i="18"/>
  <c r="F62" i="18"/>
  <c r="F61" i="18"/>
  <c r="F60" i="18"/>
  <c r="F59" i="18"/>
  <c r="F58" i="18"/>
  <c r="F57" i="18"/>
  <c r="F56" i="18"/>
  <c r="F55" i="18"/>
  <c r="F54" i="18"/>
  <c r="F53" i="18"/>
  <c r="F52" i="18"/>
  <c r="F51" i="18"/>
  <c r="F50" i="18"/>
  <c r="F49" i="18"/>
  <c r="F48" i="18"/>
  <c r="F47" i="18"/>
  <c r="F46" i="18"/>
  <c r="F45" i="18"/>
  <c r="F42" i="18"/>
  <c r="F35" i="18"/>
  <c r="F34" i="18"/>
  <c r="F33" i="18"/>
  <c r="F32" i="18"/>
  <c r="F31" i="18"/>
  <c r="F30" i="18"/>
  <c r="F29" i="18"/>
  <c r="F28" i="18"/>
  <c r="F27" i="18"/>
  <c r="F26" i="18"/>
  <c r="F25" i="18"/>
  <c r="F24" i="18"/>
  <c r="F23" i="18"/>
  <c r="F22" i="18"/>
  <c r="F21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J71" i="18"/>
  <c r="J72" i="18"/>
  <c r="H28" i="23"/>
  <c r="I15" i="35"/>
  <c r="A36" i="18"/>
  <c r="A37" i="18"/>
  <c r="A38" i="18"/>
  <c r="A39" i="18"/>
  <c r="A40" i="18"/>
  <c r="A41" i="18"/>
  <c r="A42" i="18"/>
  <c r="A43" i="18"/>
  <c r="I25" i="18"/>
  <c r="I13" i="19"/>
  <c r="I13" i="6"/>
  <c r="J73" i="18"/>
  <c r="H29" i="23"/>
  <c r="I16" i="35"/>
  <c r="A44" i="18"/>
  <c r="A45" i="18"/>
  <c r="A46" i="18"/>
  <c r="A47" i="18"/>
  <c r="A48" i="18"/>
  <c r="A49" i="18"/>
  <c r="A50" i="18"/>
  <c r="A51" i="18"/>
  <c r="A52" i="18"/>
  <c r="A53" i="18"/>
  <c r="A54" i="18"/>
  <c r="A55" i="18"/>
  <c r="A56" i="18"/>
  <c r="A57" i="18"/>
  <c r="A58" i="18"/>
  <c r="A59" i="18"/>
  <c r="A60" i="18"/>
  <c r="A61" i="18"/>
  <c r="A62" i="18"/>
  <c r="A63" i="18"/>
  <c r="A64" i="18"/>
  <c r="A65" i="18"/>
  <c r="A66" i="18"/>
  <c r="A67" i="18"/>
  <c r="A68" i="18"/>
  <c r="A69" i="18"/>
  <c r="A70" i="18"/>
  <c r="I26" i="18"/>
  <c r="I14" i="19"/>
  <c r="I14" i="6"/>
  <c r="H30" i="23"/>
  <c r="I17" i="35"/>
  <c r="I27" i="18"/>
  <c r="I15" i="19"/>
  <c r="I15" i="6"/>
  <c r="I52" i="5"/>
  <c r="I53" i="5"/>
  <c r="I54" i="5"/>
  <c r="I55" i="5"/>
  <c r="I56" i="5"/>
  <c r="I57" i="5"/>
  <c r="I58" i="5"/>
  <c r="I59" i="5"/>
  <c r="I60" i="5"/>
  <c r="I61" i="5"/>
  <c r="I62" i="5"/>
  <c r="I63" i="5"/>
  <c r="I64" i="5"/>
  <c r="I65" i="5"/>
  <c r="I66" i="5"/>
  <c r="I67" i="5"/>
  <c r="I68" i="5"/>
  <c r="I69" i="5"/>
  <c r="I70" i="5"/>
  <c r="D62" i="6"/>
  <c r="D61" i="6"/>
  <c r="I74" i="5"/>
  <c r="I73" i="5"/>
  <c r="I72" i="5"/>
  <c r="H31" i="23"/>
  <c r="I18" i="35"/>
  <c r="I28" i="18"/>
  <c r="I16" i="19"/>
  <c r="I16" i="6"/>
  <c r="H32" i="23"/>
  <c r="I19" i="35"/>
  <c r="I29" i="18"/>
  <c r="I17" i="19"/>
  <c r="I17" i="6"/>
  <c r="F61" i="5"/>
  <c r="F60" i="5"/>
  <c r="F53" i="5"/>
  <c r="F52" i="5"/>
  <c r="AW52" i="5"/>
  <c r="AV52" i="5"/>
  <c r="AX52" i="5"/>
  <c r="AX53" i="5"/>
  <c r="AV53" i="5"/>
  <c r="AW53" i="5"/>
  <c r="AV60" i="5"/>
  <c r="AW60" i="5"/>
  <c r="AX60" i="5"/>
  <c r="AV61" i="5"/>
  <c r="AX61" i="5"/>
  <c r="AW61" i="5"/>
  <c r="H33" i="23"/>
  <c r="I20" i="35"/>
  <c r="I30" i="18"/>
  <c r="I18" i="19"/>
  <c r="I18" i="6"/>
  <c r="P13" i="3"/>
  <c r="H34" i="23"/>
  <c r="I21" i="35"/>
  <c r="I31" i="18"/>
  <c r="I19" i="19"/>
  <c r="I19" i="6"/>
  <c r="H35" i="23"/>
  <c r="I22" i="35"/>
  <c r="I32" i="18"/>
  <c r="I20" i="19"/>
  <c r="I20" i="6"/>
  <c r="M27" i="3"/>
  <c r="N27" i="3"/>
  <c r="N35" i="3"/>
  <c r="M13" i="3"/>
  <c r="N13" i="3"/>
  <c r="N19" i="3"/>
  <c r="D5" i="6"/>
  <c r="D4" i="6"/>
  <c r="D60" i="6"/>
  <c r="F70" i="5"/>
  <c r="F69" i="5"/>
  <c r="F68" i="5"/>
  <c r="F67" i="5"/>
  <c r="F66" i="5"/>
  <c r="F65" i="5"/>
  <c r="F64" i="5"/>
  <c r="F63" i="5"/>
  <c r="F62" i="5"/>
  <c r="F59" i="5"/>
  <c r="F58" i="5"/>
  <c r="F57" i="5"/>
  <c r="F56" i="5"/>
  <c r="F55" i="5"/>
  <c r="F54" i="5"/>
  <c r="A53" i="4"/>
  <c r="A54" i="4"/>
  <c r="E51" i="4"/>
  <c r="A14" i="4"/>
  <c r="P14" i="4"/>
  <c r="E12" i="4"/>
  <c r="A28" i="3"/>
  <c r="A14" i="3"/>
  <c r="P14" i="3"/>
  <c r="AW54" i="5"/>
  <c r="AX54" i="5"/>
  <c r="AV54" i="5"/>
  <c r="AW64" i="5"/>
  <c r="AX64" i="5"/>
  <c r="AV64" i="5"/>
  <c r="AV65" i="5"/>
  <c r="AW65" i="5"/>
  <c r="AX65" i="5"/>
  <c r="AV55" i="5"/>
  <c r="AX55" i="5"/>
  <c r="AW55" i="5"/>
  <c r="AW66" i="5"/>
  <c r="AX66" i="5"/>
  <c r="AV66" i="5"/>
  <c r="AX57" i="5"/>
  <c r="AW57" i="5"/>
  <c r="AV57" i="5"/>
  <c r="AV67" i="5"/>
  <c r="AX67" i="5"/>
  <c r="AW67" i="5"/>
  <c r="AV56" i="5"/>
  <c r="AW56" i="5"/>
  <c r="AX56" i="5"/>
  <c r="AX58" i="5"/>
  <c r="AV58" i="5"/>
  <c r="AW58" i="5"/>
  <c r="AW68" i="5"/>
  <c r="AV68" i="5"/>
  <c r="AX68" i="5"/>
  <c r="AX69" i="5"/>
  <c r="AW69" i="5"/>
  <c r="AV69" i="5"/>
  <c r="AX62" i="5"/>
  <c r="AV62" i="5"/>
  <c r="AW62" i="5"/>
  <c r="AW59" i="5"/>
  <c r="AX59" i="5"/>
  <c r="AV59" i="5"/>
  <c r="AX70" i="5"/>
  <c r="AV70" i="5"/>
  <c r="AW70" i="5"/>
  <c r="AV63" i="5"/>
  <c r="AX63" i="5"/>
  <c r="AW63" i="5"/>
  <c r="H36" i="23"/>
  <c r="I23" i="35"/>
  <c r="I33" i="18"/>
  <c r="I21" i="19"/>
  <c r="I21" i="6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15" i="3"/>
  <c r="A16" i="3"/>
  <c r="M14" i="3"/>
  <c r="N14" i="3"/>
  <c r="N20" i="3"/>
  <c r="A15" i="4"/>
  <c r="A16" i="4"/>
  <c r="A29" i="3"/>
  <c r="M29" i="3"/>
  <c r="N29" i="3"/>
  <c r="N37" i="3"/>
  <c r="M28" i="3"/>
  <c r="N28" i="3"/>
  <c r="N36" i="3"/>
  <c r="A55" i="4"/>
  <c r="H37" i="23"/>
  <c r="I24" i="35"/>
  <c r="P16" i="4"/>
  <c r="P15" i="4"/>
  <c r="I34" i="18"/>
  <c r="I22" i="19"/>
  <c r="I22" i="6"/>
  <c r="A30" i="3"/>
  <c r="M30" i="3"/>
  <c r="N30" i="3"/>
  <c r="N38" i="3"/>
  <c r="M16" i="3"/>
  <c r="N16" i="3"/>
  <c r="N22" i="3"/>
  <c r="P16" i="3"/>
  <c r="M15" i="3"/>
  <c r="N15" i="3"/>
  <c r="N21" i="3"/>
  <c r="P15" i="3"/>
  <c r="A65" i="5"/>
  <c r="A66" i="5"/>
  <c r="A67" i="5"/>
  <c r="A68" i="5"/>
  <c r="A69" i="5"/>
  <c r="A70" i="5"/>
  <c r="A17" i="4"/>
  <c r="A56" i="4"/>
  <c r="A17" i="3"/>
  <c r="A31" i="3"/>
  <c r="M31" i="3"/>
  <c r="N31" i="3"/>
  <c r="N39" i="3"/>
  <c r="H38" i="23"/>
  <c r="I25" i="35"/>
  <c r="P17" i="4"/>
  <c r="A71" i="22"/>
  <c r="I35" i="18"/>
  <c r="I23" i="6"/>
  <c r="M17" i="3"/>
  <c r="N17" i="3"/>
  <c r="N23" i="3"/>
  <c r="P17" i="3"/>
  <c r="A57" i="4"/>
  <c r="A18" i="4"/>
  <c r="A18" i="3"/>
  <c r="A32" i="3"/>
  <c r="M32" i="3"/>
  <c r="N32" i="3"/>
  <c r="N40" i="3"/>
  <c r="H39" i="23"/>
  <c r="I26" i="35"/>
  <c r="P18" i="4"/>
  <c r="I36" i="18"/>
  <c r="I23" i="19"/>
  <c r="I24" i="6"/>
  <c r="M18" i="3"/>
  <c r="N18" i="3"/>
  <c r="N24" i="3"/>
  <c r="P18" i="3"/>
  <c r="A19" i="4"/>
  <c r="A58" i="4"/>
  <c r="A19" i="3"/>
  <c r="A33" i="3"/>
  <c r="M33" i="3"/>
  <c r="H40" i="23"/>
  <c r="I27" i="35"/>
  <c r="P19" i="4"/>
  <c r="I37" i="18"/>
  <c r="I24" i="19"/>
  <c r="I25" i="6"/>
  <c r="M19" i="3"/>
  <c r="P19" i="3"/>
  <c r="A59" i="4"/>
  <c r="A20" i="4"/>
  <c r="A34" i="3"/>
  <c r="M34" i="3"/>
  <c r="N33" i="3"/>
  <c r="N41" i="3"/>
  <c r="A20" i="3"/>
  <c r="H41" i="23"/>
  <c r="I28" i="35"/>
  <c r="P20" i="4"/>
  <c r="I38" i="18"/>
  <c r="I25" i="19"/>
  <c r="I26" i="6"/>
  <c r="M20" i="3"/>
  <c r="P20" i="3"/>
  <c r="A21" i="4"/>
  <c r="A60" i="4"/>
  <c r="A21" i="3"/>
  <c r="A35" i="3"/>
  <c r="M35" i="3"/>
  <c r="N34" i="3"/>
  <c r="N42" i="3"/>
  <c r="H42" i="23"/>
  <c r="I29" i="35"/>
  <c r="P21" i="4"/>
  <c r="I39" i="18"/>
  <c r="I26" i="19"/>
  <c r="I27" i="6"/>
  <c r="M21" i="3"/>
  <c r="P21" i="3"/>
  <c r="A61" i="4"/>
  <c r="A22" i="4"/>
  <c r="A36" i="3"/>
  <c r="M36" i="3"/>
  <c r="A22" i="3"/>
  <c r="H43" i="23"/>
  <c r="I30" i="35"/>
  <c r="P22" i="4"/>
  <c r="I40" i="18"/>
  <c r="I27" i="19"/>
  <c r="I28" i="6"/>
  <c r="M22" i="3"/>
  <c r="P22" i="3"/>
  <c r="A23" i="4"/>
  <c r="A62" i="4"/>
  <c r="A23" i="3"/>
  <c r="A37" i="3"/>
  <c r="M37" i="3"/>
  <c r="H44" i="23"/>
  <c r="I31" i="35"/>
  <c r="P23" i="4"/>
  <c r="I41" i="18"/>
  <c r="I28" i="19"/>
  <c r="I29" i="6"/>
  <c r="M23" i="3"/>
  <c r="P23" i="3"/>
  <c r="A63" i="4"/>
  <c r="A24" i="4"/>
  <c r="A38" i="3"/>
  <c r="M38" i="3"/>
  <c r="A24" i="3"/>
  <c r="M24" i="3"/>
  <c r="H45" i="23"/>
  <c r="I32" i="35"/>
  <c r="P24" i="4"/>
  <c r="I29" i="19"/>
  <c r="I42" i="18"/>
  <c r="I30" i="6"/>
  <c r="A25" i="4"/>
  <c r="A64" i="4"/>
  <c r="A39" i="3"/>
  <c r="M39" i="3"/>
  <c r="H46" i="23"/>
  <c r="I33" i="35"/>
  <c r="P25" i="4"/>
  <c r="I43" i="18"/>
  <c r="I30" i="19"/>
  <c r="I31" i="6"/>
  <c r="A65" i="4"/>
  <c r="A26" i="4"/>
  <c r="A40" i="3"/>
  <c r="M40" i="3"/>
  <c r="H47" i="23"/>
  <c r="I34" i="35"/>
  <c r="P26" i="4"/>
  <c r="I31" i="19"/>
  <c r="I44" i="18"/>
  <c r="I32" i="19"/>
  <c r="I32" i="6"/>
  <c r="A27" i="4"/>
  <c r="A66" i="4"/>
  <c r="A41" i="3"/>
  <c r="M41" i="3"/>
  <c r="H48" i="23"/>
  <c r="I35" i="35"/>
  <c r="P27" i="4"/>
  <c r="I45" i="18"/>
  <c r="I33" i="19"/>
  <c r="I33" i="6"/>
  <c r="A67" i="4"/>
  <c r="A28" i="4"/>
  <c r="A42" i="3"/>
  <c r="M42" i="3"/>
  <c r="H49" i="23"/>
  <c r="I36" i="35"/>
  <c r="P28" i="4"/>
  <c r="I46" i="18"/>
  <c r="I34" i="19"/>
  <c r="I34" i="6"/>
  <c r="A29" i="4"/>
  <c r="A68" i="4"/>
  <c r="H50" i="23"/>
  <c r="I37" i="35"/>
  <c r="P29" i="4"/>
  <c r="I47" i="18"/>
  <c r="I35" i="19"/>
  <c r="I35" i="6"/>
  <c r="A69" i="4"/>
  <c r="A30" i="4"/>
  <c r="H51" i="23"/>
  <c r="I38" i="35"/>
  <c r="P30" i="4"/>
  <c r="I48" i="18"/>
  <c r="I36" i="19"/>
  <c r="I36" i="6"/>
  <c r="A31" i="4"/>
  <c r="A70" i="4"/>
  <c r="H52" i="23"/>
  <c r="I39" i="35"/>
  <c r="P31" i="4"/>
  <c r="I49" i="18"/>
  <c r="I37" i="19"/>
  <c r="I37" i="6"/>
  <c r="A71" i="4"/>
  <c r="A32" i="4"/>
  <c r="H53" i="23"/>
  <c r="I40" i="35"/>
  <c r="P32" i="4"/>
  <c r="I50" i="18"/>
  <c r="I38" i="19"/>
  <c r="I38" i="6"/>
  <c r="A33" i="4"/>
  <c r="A72" i="4"/>
  <c r="H54" i="23"/>
  <c r="I41" i="35"/>
  <c r="P33" i="4"/>
  <c r="I51" i="18"/>
  <c r="I39" i="19"/>
  <c r="I39" i="6"/>
  <c r="A73" i="4"/>
  <c r="A34" i="4"/>
  <c r="H55" i="23"/>
  <c r="I42" i="35"/>
  <c r="P34" i="4"/>
  <c r="I52" i="18"/>
  <c r="I40" i="19"/>
  <c r="H52" i="5"/>
  <c r="I40" i="6"/>
  <c r="A35" i="4"/>
  <c r="A74" i="4"/>
  <c r="H56" i="23"/>
  <c r="I43" i="35"/>
  <c r="P35" i="4"/>
  <c r="I53" i="18"/>
  <c r="I41" i="19"/>
  <c r="H53" i="5"/>
  <c r="I41" i="6"/>
  <c r="A75" i="4"/>
  <c r="A36" i="4"/>
  <c r="H57" i="23"/>
  <c r="I44" i="35"/>
  <c r="P36" i="4"/>
  <c r="I54" i="18"/>
  <c r="I42" i="19"/>
  <c r="H54" i="5"/>
  <c r="I42" i="6"/>
  <c r="A37" i="4"/>
  <c r="A76" i="4"/>
  <c r="H58" i="23"/>
  <c r="I45" i="35"/>
  <c r="P37" i="4"/>
  <c r="I55" i="18"/>
  <c r="I43" i="19"/>
  <c r="H55" i="5"/>
  <c r="I43" i="6"/>
  <c r="A77" i="4"/>
  <c r="A38" i="4"/>
  <c r="H59" i="23"/>
  <c r="I46" i="35"/>
  <c r="P38" i="4"/>
  <c r="I56" i="18"/>
  <c r="I44" i="19"/>
  <c r="H56" i="5"/>
  <c r="I44" i="6"/>
  <c r="A39" i="4"/>
  <c r="A78" i="4"/>
  <c r="H60" i="23"/>
  <c r="I47" i="35"/>
  <c r="P39" i="4"/>
  <c r="I57" i="18"/>
  <c r="I45" i="19"/>
  <c r="H57" i="5"/>
  <c r="I45" i="6"/>
  <c r="A79" i="4"/>
  <c r="A40" i="4"/>
  <c r="H61" i="23"/>
  <c r="I48" i="35"/>
  <c r="P40" i="4"/>
  <c r="I58" i="18"/>
  <c r="I46" i="19"/>
  <c r="H58" i="5"/>
  <c r="I46" i="6"/>
  <c r="A41" i="4"/>
  <c r="A80" i="4"/>
  <c r="H62" i="23"/>
  <c r="I49" i="35"/>
  <c r="P41" i="4"/>
  <c r="I59" i="18"/>
  <c r="I47" i="19"/>
  <c r="H59" i="5"/>
  <c r="I47" i="6"/>
  <c r="A81" i="4"/>
  <c r="A42" i="4"/>
  <c r="H63" i="23"/>
  <c r="I50" i="35"/>
  <c r="P42" i="4"/>
  <c r="I60" i="18"/>
  <c r="I48" i="19"/>
  <c r="H60" i="5"/>
  <c r="I48" i="6"/>
  <c r="A43" i="4"/>
  <c r="A82" i="4"/>
  <c r="H64" i="23"/>
  <c r="I51" i="35"/>
  <c r="P43" i="4"/>
  <c r="I61" i="18"/>
  <c r="I49" i="19"/>
  <c r="H61" i="5"/>
  <c r="I49" i="6"/>
  <c r="A83" i="4"/>
  <c r="A44" i="4"/>
  <c r="H65" i="23"/>
  <c r="I52" i="35"/>
  <c r="P44" i="4"/>
  <c r="I62" i="18"/>
  <c r="I50" i="19"/>
  <c r="H62" i="5"/>
  <c r="I50" i="6"/>
  <c r="A45" i="4"/>
  <c r="A84" i="4"/>
  <c r="H66" i="23"/>
  <c r="I53" i="35"/>
  <c r="P45" i="4"/>
  <c r="I63" i="18"/>
  <c r="I51" i="19"/>
  <c r="H63" i="5"/>
  <c r="I51" i="6"/>
  <c r="A85" i="4"/>
  <c r="A46" i="4"/>
  <c r="H67" i="23"/>
  <c r="I54" i="35"/>
  <c r="P46" i="4"/>
  <c r="I64" i="18"/>
  <c r="I52" i="19"/>
  <c r="H64" i="5"/>
  <c r="I52" i="6"/>
  <c r="A47" i="4"/>
  <c r="A86" i="4"/>
  <c r="H68" i="23"/>
  <c r="I55" i="35"/>
  <c r="P47" i="4"/>
  <c r="I65" i="18"/>
  <c r="I53" i="19"/>
  <c r="H65" i="5"/>
  <c r="I53" i="6"/>
  <c r="A87" i="4"/>
  <c r="A48" i="4"/>
  <c r="H69" i="23"/>
  <c r="I56" i="35"/>
  <c r="P48" i="4"/>
  <c r="M7" i="4"/>
  <c r="M48" i="4"/>
  <c r="N48" i="4"/>
  <c r="I66" i="18"/>
  <c r="I54" i="19"/>
  <c r="H66" i="5"/>
  <c r="I54" i="6"/>
  <c r="A88" i="4"/>
  <c r="H70" i="23"/>
  <c r="I58" i="35"/>
  <c r="I57" i="35"/>
  <c r="M88" i="4"/>
  <c r="M13" i="4"/>
  <c r="N13" i="4"/>
  <c r="M52" i="4"/>
  <c r="N52" i="4"/>
  <c r="M54" i="4"/>
  <c r="N54" i="4"/>
  <c r="M53" i="4"/>
  <c r="N53" i="4"/>
  <c r="M14" i="4"/>
  <c r="N14" i="4"/>
  <c r="M16" i="4"/>
  <c r="N16" i="4"/>
  <c r="M55" i="4"/>
  <c r="N55" i="4"/>
  <c r="M15" i="4"/>
  <c r="N15" i="4"/>
  <c r="M56" i="4"/>
  <c r="N56" i="4"/>
  <c r="M17" i="4"/>
  <c r="N17" i="4"/>
  <c r="M18" i="4"/>
  <c r="N18" i="4"/>
  <c r="M57" i="4"/>
  <c r="N57" i="4"/>
  <c r="M58" i="4"/>
  <c r="N58" i="4"/>
  <c r="M19" i="4"/>
  <c r="N19" i="4"/>
  <c r="M20" i="4"/>
  <c r="N20" i="4"/>
  <c r="M59" i="4"/>
  <c r="N59" i="4"/>
  <c r="M60" i="4"/>
  <c r="N60" i="4"/>
  <c r="M21" i="4"/>
  <c r="N21" i="4"/>
  <c r="M22" i="4"/>
  <c r="N22" i="4"/>
  <c r="M61" i="4"/>
  <c r="N61" i="4"/>
  <c r="M62" i="4"/>
  <c r="N62" i="4"/>
  <c r="M23" i="4"/>
  <c r="N23" i="4"/>
  <c r="M24" i="4"/>
  <c r="N24" i="4"/>
  <c r="M63" i="4"/>
  <c r="N63" i="4"/>
  <c r="M64" i="4"/>
  <c r="N64" i="4"/>
  <c r="M25" i="4"/>
  <c r="N25" i="4"/>
  <c r="M26" i="4"/>
  <c r="N26" i="4"/>
  <c r="M65" i="4"/>
  <c r="N65" i="4"/>
  <c r="M66" i="4"/>
  <c r="N66" i="4"/>
  <c r="M27" i="4"/>
  <c r="N27" i="4"/>
  <c r="M28" i="4"/>
  <c r="N28" i="4"/>
  <c r="M67" i="4"/>
  <c r="N67" i="4"/>
  <c r="M68" i="4"/>
  <c r="N68" i="4"/>
  <c r="M29" i="4"/>
  <c r="N29" i="4"/>
  <c r="M30" i="4"/>
  <c r="N30" i="4"/>
  <c r="M69" i="4"/>
  <c r="N69" i="4"/>
  <c r="M70" i="4"/>
  <c r="N70" i="4"/>
  <c r="M31" i="4"/>
  <c r="N31" i="4"/>
  <c r="M32" i="4"/>
  <c r="N32" i="4"/>
  <c r="M71" i="4"/>
  <c r="N71" i="4"/>
  <c r="M33" i="4"/>
  <c r="N33" i="4"/>
  <c r="M72" i="4"/>
  <c r="N72" i="4"/>
  <c r="M73" i="4"/>
  <c r="N73" i="4"/>
  <c r="M34" i="4"/>
  <c r="N34" i="4"/>
  <c r="M74" i="4"/>
  <c r="N74" i="4"/>
  <c r="M35" i="4"/>
  <c r="N35" i="4"/>
  <c r="M36" i="4"/>
  <c r="N36" i="4"/>
  <c r="M75" i="4"/>
  <c r="N75" i="4"/>
  <c r="M76" i="4"/>
  <c r="N76" i="4"/>
  <c r="M37" i="4"/>
  <c r="N37" i="4"/>
  <c r="M38" i="4"/>
  <c r="N38" i="4"/>
  <c r="M77" i="4"/>
  <c r="N77" i="4"/>
  <c r="M39" i="4"/>
  <c r="N39" i="4"/>
  <c r="M78" i="4"/>
  <c r="N78" i="4"/>
  <c r="M79" i="4"/>
  <c r="N79" i="4"/>
  <c r="M40" i="4"/>
  <c r="N40" i="4"/>
  <c r="M80" i="4"/>
  <c r="N80" i="4"/>
  <c r="M41" i="4"/>
  <c r="N41" i="4"/>
  <c r="M42" i="4"/>
  <c r="N42" i="4"/>
  <c r="M81" i="4"/>
  <c r="N81" i="4"/>
  <c r="M43" i="4"/>
  <c r="N43" i="4"/>
  <c r="M82" i="4"/>
  <c r="N82" i="4"/>
  <c r="M83" i="4"/>
  <c r="N83" i="4"/>
  <c r="M44" i="4"/>
  <c r="N44" i="4"/>
  <c r="M84" i="4"/>
  <c r="N84" i="4"/>
  <c r="M45" i="4"/>
  <c r="N45" i="4"/>
  <c r="M46" i="4"/>
  <c r="N46" i="4"/>
  <c r="M85" i="4"/>
  <c r="N85" i="4"/>
  <c r="M47" i="4"/>
  <c r="N47" i="4"/>
  <c r="M86" i="4"/>
  <c r="N86" i="4"/>
  <c r="M87" i="4"/>
  <c r="N87" i="4"/>
  <c r="I67" i="18"/>
  <c r="I55" i="19"/>
  <c r="H67" i="5"/>
  <c r="I55" i="6"/>
  <c r="A89" i="4"/>
  <c r="M89" i="4"/>
  <c r="N88" i="4"/>
  <c r="I68" i="18"/>
  <c r="I56" i="19"/>
  <c r="H68" i="5"/>
  <c r="I56" i="6"/>
  <c r="A90" i="4"/>
  <c r="M90" i="4"/>
  <c r="N89" i="4"/>
  <c r="I69" i="18"/>
  <c r="I57" i="19"/>
  <c r="H69" i="5"/>
  <c r="I57" i="6"/>
  <c r="A91" i="4"/>
  <c r="N90" i="4"/>
  <c r="I70" i="18"/>
  <c r="I58" i="19"/>
  <c r="H70" i="5"/>
  <c r="I58" i="6"/>
  <c r="M91" i="4"/>
  <c r="N91" i="4"/>
  <c r="P49" i="3"/>
  <c r="P50" i="3"/>
  <c r="P51" i="3"/>
  <c r="P52" i="3"/>
  <c r="P54" i="3"/>
  <c r="P55" i="3"/>
  <c r="P56" i="3"/>
  <c r="P57" i="3"/>
  <c r="R64" i="3"/>
  <c r="S64" i="3"/>
  <c r="L64" i="3"/>
  <c r="M64" i="3"/>
  <c r="O64" i="3"/>
  <c r="R65" i="3"/>
  <c r="S65" i="3"/>
  <c r="L65" i="3"/>
  <c r="M65" i="3"/>
  <c r="O65" i="3"/>
  <c r="O66" i="3"/>
  <c r="R66" i="3"/>
  <c r="S66" i="3"/>
  <c r="L66" i="3"/>
  <c r="M66" i="3"/>
  <c r="O67" i="3"/>
  <c r="R67" i="3"/>
  <c r="S67" i="3"/>
  <c r="L67" i="3"/>
  <c r="M67" i="3"/>
  <c r="O49" i="3"/>
  <c r="R49" i="3"/>
  <c r="S49" i="3"/>
  <c r="L49" i="3"/>
  <c r="M49" i="3"/>
  <c r="O50" i="3"/>
  <c r="R50" i="3"/>
  <c r="S50" i="3"/>
  <c r="L50" i="3"/>
  <c r="M50" i="3"/>
  <c r="L51" i="3"/>
  <c r="M51" i="3"/>
  <c r="R51" i="3"/>
  <c r="S51" i="3"/>
  <c r="O51" i="3"/>
  <c r="R52" i="3"/>
  <c r="S52" i="3"/>
  <c r="O52" i="3"/>
  <c r="L52" i="3"/>
  <c r="M52" i="3"/>
  <c r="O59" i="3"/>
  <c r="L59" i="3"/>
  <c r="M59" i="3"/>
  <c r="R59" i="3"/>
  <c r="O60" i="3"/>
  <c r="L60" i="3"/>
  <c r="M60" i="3"/>
  <c r="R60" i="3"/>
  <c r="O61" i="3"/>
  <c r="R61" i="3"/>
  <c r="L61" i="3"/>
  <c r="M61" i="3"/>
  <c r="R62" i="3"/>
  <c r="O62" i="3"/>
  <c r="L62" i="3"/>
  <c r="M62" i="3"/>
  <c r="O54" i="3"/>
  <c r="L54" i="3"/>
  <c r="M54" i="3"/>
  <c r="R54" i="3"/>
  <c r="O55" i="3"/>
  <c r="L55" i="3"/>
  <c r="M55" i="3"/>
  <c r="R55" i="3"/>
  <c r="O56" i="3"/>
  <c r="L56" i="3"/>
  <c r="M56" i="3"/>
  <c r="R56" i="3"/>
  <c r="R57" i="3"/>
  <c r="L57" i="3"/>
  <c r="M57" i="3"/>
  <c r="O57" i="3"/>
  <c r="P62" i="3"/>
  <c r="P61" i="3"/>
  <c r="P60" i="3"/>
  <c r="P59" i="3"/>
  <c r="P67" i="3"/>
  <c r="P66" i="3"/>
  <c r="P65" i="3"/>
  <c r="P64" i="3"/>
  <c r="S59" i="3"/>
  <c r="S57" i="3"/>
  <c r="S62" i="3"/>
  <c r="S56" i="3"/>
  <c r="S61" i="3"/>
  <c r="S55" i="3"/>
  <c r="S60" i="3"/>
  <c r="S54" i="3"/>
  <c r="O111" i="22"/>
  <c r="O83" i="22"/>
  <c r="O85" i="22"/>
  <c r="O109" i="22"/>
  <c r="O112" i="22"/>
  <c r="O110" i="22"/>
  <c r="L77" i="22"/>
  <c r="O88" i="22"/>
  <c r="E66" i="22"/>
  <c r="H64" i="22"/>
  <c r="O87" i="22"/>
  <c r="O79" i="22"/>
  <c r="O84" i="22"/>
  <c r="O81" i="22"/>
  <c r="O86" i="22"/>
  <c r="O78" i="22"/>
  <c r="O82" i="22"/>
  <c r="O77" i="22"/>
  <c r="O80" i="22"/>
  <c r="I113" i="22"/>
  <c r="I114" i="22"/>
  <c r="I116" i="22"/>
  <c r="G113" i="22"/>
  <c r="G114" i="22"/>
  <c r="O114" i="22"/>
  <c r="G115" i="22"/>
  <c r="I115" i="22"/>
  <c r="G116" i="22"/>
  <c r="O116" i="22"/>
  <c r="H19" i="36"/>
  <c r="O113" i="22"/>
  <c r="O115" i="22"/>
  <c r="AW71" i="5"/>
  <c r="AV71" i="5"/>
  <c r="AX71" i="5"/>
  <c r="D45" i="36"/>
</calcChain>
</file>

<file path=xl/sharedStrings.xml><?xml version="1.0" encoding="utf-8"?>
<sst xmlns="http://schemas.openxmlformats.org/spreadsheetml/2006/main" count="9919" uniqueCount="1988">
  <si>
    <t>№ п/п</t>
  </si>
  <si>
    <t>I</t>
  </si>
  <si>
    <t>Главный судья</t>
  </si>
  <si>
    <t>Фамилия, имя</t>
  </si>
  <si>
    <t>Год 
рожд.</t>
  </si>
  <si>
    <t>Разряд,
звание</t>
  </si>
  <si>
    <t>Команда</t>
  </si>
  <si>
    <t>Тренер</t>
  </si>
  <si>
    <t>Зачет</t>
  </si>
  <si>
    <t>Фамилия Имя</t>
  </si>
  <si>
    <t>II юн</t>
  </si>
  <si>
    <t>III юн</t>
  </si>
  <si>
    <t>лично</t>
  </si>
  <si>
    <t>II</t>
  </si>
  <si>
    <t>III</t>
  </si>
  <si>
    <t>б/р</t>
  </si>
  <si>
    <t>Место</t>
  </si>
  <si>
    <t>Результат</t>
  </si>
  <si>
    <t>Очки</t>
  </si>
  <si>
    <t>Фамилия Имя 1</t>
  </si>
  <si>
    <t>ЗамКлуб</t>
  </si>
  <si>
    <t>Фамилия Имя 2</t>
  </si>
  <si>
    <t>Фамилия Имя 3</t>
  </si>
  <si>
    <t>ЗМС</t>
  </si>
  <si>
    <t>Фамилия Имя 4</t>
  </si>
  <si>
    <t>МСМК</t>
  </si>
  <si>
    <t>Фамилия Имя 5</t>
  </si>
  <si>
    <t>МС</t>
  </si>
  <si>
    <t>Фамилия Имя 6</t>
  </si>
  <si>
    <t>КМС</t>
  </si>
  <si>
    <t>Фамилия Имя 7</t>
  </si>
  <si>
    <t>Фамилия Имя 8</t>
  </si>
  <si>
    <t>Фамилия Имя 9</t>
  </si>
  <si>
    <t>Фамилия Имя 10</t>
  </si>
  <si>
    <t>Фамилия Имя 11</t>
  </si>
  <si>
    <t>I юн</t>
  </si>
  <si>
    <t>Фамилия Имя 12</t>
  </si>
  <si>
    <t>Фамилия Имя 13</t>
  </si>
  <si>
    <t>Фамилия Имя 14</t>
  </si>
  <si>
    <t>Фамилия Имя 15</t>
  </si>
  <si>
    <t>Фамилия Имя 16</t>
  </si>
  <si>
    <t>Фамилия Имя 17</t>
  </si>
  <si>
    <t>Фамилия Имя 18</t>
  </si>
  <si>
    <t>Фамилия Имя 19</t>
  </si>
  <si>
    <t>Фамилия Имя 20</t>
  </si>
  <si>
    <t>Фамилия Имя 21</t>
  </si>
  <si>
    <t>Фамилия Имя 22</t>
  </si>
  <si>
    <t>Фамилия Имя 23</t>
  </si>
  <si>
    <t>Фамилия Имя 24</t>
  </si>
  <si>
    <t>Фамилия Имя 25</t>
  </si>
  <si>
    <t>Фамилия Имя 26</t>
  </si>
  <si>
    <t>Фамилия Имя 27</t>
  </si>
  <si>
    <t>Фамилия Имя 28</t>
  </si>
  <si>
    <t>Зачеты</t>
  </si>
  <si>
    <t>СТАРТОВЫЙ ПРОТОКОЛ</t>
  </si>
  <si>
    <t>Дорожка</t>
  </si>
  <si>
    <t>Предварительный
результат</t>
  </si>
  <si>
    <t>Плавание в ластах - 400 м (1460111811Я),  женщины</t>
  </si>
  <si>
    <t>Заплыв №</t>
  </si>
  <si>
    <t>Фамилия Имя 46</t>
  </si>
  <si>
    <t>Фамилия Имя 49</t>
  </si>
  <si>
    <t>Фамилия Имя 48</t>
  </si>
  <si>
    <t>Фамилия Имя 51</t>
  </si>
  <si>
    <t>Фамилия Имя 54</t>
  </si>
  <si>
    <t>Фамилия Имя 47</t>
  </si>
  <si>
    <t>Фамилия Имя 45</t>
  </si>
  <si>
    <t>Фамилия Имя 52</t>
  </si>
  <si>
    <t>Фамилия Имя 44</t>
  </si>
  <si>
    <t>Фамилия Имя 55</t>
  </si>
  <si>
    <t>Фамилия Имя 42</t>
  </si>
  <si>
    <t>Фамилия Имя 43</t>
  </si>
  <si>
    <t>Фамилия Имя 34</t>
  </si>
  <si>
    <t>Фамилия Имя 41</t>
  </si>
  <si>
    <t>Фамилия Имя 30</t>
  </si>
  <si>
    <t>Фамилия Имя 56</t>
  </si>
  <si>
    <t>Фамилия Имя 29</t>
  </si>
  <si>
    <t>Фамилия Имя 32</t>
  </si>
  <si>
    <t>Фамилия Имя 31</t>
  </si>
  <si>
    <t>Плавание в ластах - 50 м (1460081811Я),  женщины</t>
  </si>
  <si>
    <t>Фамилия Имя 50</t>
  </si>
  <si>
    <t>Фамилия Имя 33</t>
  </si>
  <si>
    <t>Фамилия Имя 53</t>
  </si>
  <si>
    <t>Разряд, звание</t>
  </si>
  <si>
    <t>Пол</t>
  </si>
  <si>
    <t>Ныряние</t>
  </si>
  <si>
    <t>Плавание в ластах</t>
  </si>
  <si>
    <t>Подводное плавание</t>
  </si>
  <si>
    <t>Классические ласты</t>
  </si>
  <si>
    <t>Эстафета</t>
  </si>
  <si>
    <t>25м</t>
  </si>
  <si>
    <t>50м</t>
  </si>
  <si>
    <t>100м</t>
  </si>
  <si>
    <t>200м</t>
  </si>
  <si>
    <t>400м</t>
  </si>
  <si>
    <t>800м</t>
  </si>
  <si>
    <t>1500м</t>
  </si>
  <si>
    <t>4х100м</t>
  </si>
  <si>
    <t>4х200м</t>
  </si>
  <si>
    <r>
      <rPr>
        <b/>
        <sz val="18"/>
        <color indexed="8"/>
        <rFont val="Times New Roman"/>
        <family val="1"/>
        <charset val="204"/>
      </rPr>
      <t>СОРЕВНОВАНИЯ</t>
    </r>
    <r>
      <rPr>
        <b/>
        <sz val="13"/>
        <color indexed="8"/>
        <rFont val="Times New Roman"/>
        <family val="1"/>
        <charset val="204"/>
      </rPr>
      <t xml:space="preserve">
по плаванию в ластах</t>
    </r>
  </si>
  <si>
    <t>для 6 дорожек</t>
  </si>
  <si>
    <t>шаг 1</t>
  </si>
  <si>
    <t>шаг 2</t>
  </si>
  <si>
    <t>для 8 дорожек</t>
  </si>
  <si>
    <t>СОРЕВНОВАНИЯ</t>
  </si>
  <si>
    <t>Кол-во заплывов</t>
  </si>
  <si>
    <t>ТЕХНИЧЕСКАЯ ЗАЯВКА</t>
  </si>
  <si>
    <t>Сборной команды</t>
  </si>
  <si>
    <t>Краткое название</t>
  </si>
  <si>
    <t>на участие в соревнованиях</t>
  </si>
  <si>
    <t>Лично</t>
  </si>
  <si>
    <t>Итого дистанций:</t>
  </si>
  <si>
    <t>Тренер-представитель</t>
  </si>
  <si>
    <t>ПОРЯДОК ЗАПОЛНЕНИЯ</t>
  </si>
  <si>
    <t>При заполнении технической заявки автоматически будет заполняться Именная заявка. Будьте внимательны!</t>
  </si>
  <si>
    <t>2. Если не хватает строк у девушек или у юношей - выделить одну или несколько строк, в середине списка девушек или юношей, полностью, правая кнопка мыши- Вставить. После этого выделить ячейку со значением № п/п больше 1, установить курсор мыши на маленький черный квадратик в правом нижнем углу, выделенной ячейки, нажать левую кнопку мыши и потянуть вниз через пустые строки - нумерация должна продолжиться</t>
  </si>
  <si>
    <t>3. Аналогичные действия произвести для стобцов Команда и Пол</t>
  </si>
  <si>
    <t>4. Лишнее (например данный текст) удаляется тоже  путем выделения строк, правая кнопка мыши - Удалить</t>
  </si>
  <si>
    <t>мужчины</t>
  </si>
  <si>
    <t>женщины</t>
  </si>
  <si>
    <t>На участие в соревнованиях</t>
  </si>
  <si>
    <t>подпись</t>
  </si>
  <si>
    <t>расшифровка подписи</t>
  </si>
  <si>
    <t>чел.</t>
  </si>
  <si>
    <t>Дистанции женщины, мужчины (18 лет и старше)</t>
  </si>
  <si>
    <t>г. рождения и старше</t>
  </si>
  <si>
    <t>Плавание в ластах - 50 м (1460081811Я),  мужчины</t>
  </si>
  <si>
    <t>Плавание в ластах - 100 м (1460091811Я),  женщины</t>
  </si>
  <si>
    <t>Плавание в ластах - 100 м (1460091811Я),  мужчины</t>
  </si>
  <si>
    <t>Плавание в ластах - 200 м (1460101811Я),  женщины</t>
  </si>
  <si>
    <t>Плавание в ластах - 200 м (1460101811Я),  мужчины</t>
  </si>
  <si>
    <t>Плавание в ластах - 400 м (1460111811Я),  мужчины</t>
  </si>
  <si>
    <t>Плавание в ластах - 800 м (1460121811Я),  женщины</t>
  </si>
  <si>
    <t>Плавание в ластах - 800 м (1460121811Я),  мужчины</t>
  </si>
  <si>
    <t>Плавание в ластах - 1500 м (1460131811Я),  женщины</t>
  </si>
  <si>
    <t>Плавание в ластах - 1500 м (1460131811Я),  мужчины</t>
  </si>
  <si>
    <t>Подводное плавание - 100 м (1460141811Я),  женщины</t>
  </si>
  <si>
    <t>Подводное плавание - 100 м (1460141811Я),  мужчины</t>
  </si>
  <si>
    <t>Подводное плавание - 400 м (1460151811Я),  женщины</t>
  </si>
  <si>
    <t>Подводное плавание - 400 м (1460151811Я),  мужчины</t>
  </si>
  <si>
    <t>Подводное плавание - 800 м (1460161811Я),  женщины</t>
  </si>
  <si>
    <t>Подводное плавание - 800 м (1460161811Я),  мужчины</t>
  </si>
  <si>
    <t>Ныряние в ластах в длину - 25 м,  женщины</t>
  </si>
  <si>
    <t>Ныряние в ластах в длину - 25 м,  мужчины</t>
  </si>
  <si>
    <t>Ныряние в ластах в длину - 50 м (1460171811Я),  женщины</t>
  </si>
  <si>
    <t>Ныряние в ластах в длину - 50 м (1460171811Я),  мужчины</t>
  </si>
  <si>
    <t>Плавание в классических ластах- 50 м (1460241811Я),  женщины</t>
  </si>
  <si>
    <t>Плавание в классических ластах- 50 м (1460241811Я),  мужчины</t>
  </si>
  <si>
    <t>Плавание в классических ластах- 100 м (1460251811Я),  женщины</t>
  </si>
  <si>
    <t>Плавание в классических ластах- 100 м (1460251811Я),  мужчины</t>
  </si>
  <si>
    <t>Плавание в классических ластах- 200 м (1460261811Я),  женщины</t>
  </si>
  <si>
    <t>Плавание в классических ластах- 200 м (1460261811Я),  мужчины</t>
  </si>
  <si>
    <t>Плавание в ластах - эстафета 4х50 м (1460171811Я), женщины</t>
  </si>
  <si>
    <t>Плавание в ластах - эстафета 4х50 м (1460171811Я), мужчины</t>
  </si>
  <si>
    <t>Плавание в ластах - эстафета 4х100 м (1460181811Я), женщины</t>
  </si>
  <si>
    <t>Плавание в ластах - эстафета 4х100 м (1460181811Я), мужчины</t>
  </si>
  <si>
    <t>Плавание в ластах - эстафета 4х200 м (1460191811Я), женщины</t>
  </si>
  <si>
    <t>Плавание в ластах - эстафета 4х200 м (1460191811Я), мужчины</t>
  </si>
  <si>
    <t>Марафонский заплыв в ластах-эстафета 4х2 км - смешанная (1460221811Я)</t>
  </si>
  <si>
    <t>Дистанция</t>
  </si>
  <si>
    <t>Юниоры (16-17 лет )</t>
  </si>
  <si>
    <t>Взрослые (18 лет и старше )</t>
  </si>
  <si>
    <t>Девушки</t>
  </si>
  <si>
    <t>Юноши</t>
  </si>
  <si>
    <t>Женщины</t>
  </si>
  <si>
    <t>Мужчины</t>
  </si>
  <si>
    <t>50 м</t>
  </si>
  <si>
    <t>100 м</t>
  </si>
  <si>
    <t>200 м</t>
  </si>
  <si>
    <t>400 м</t>
  </si>
  <si>
    <t>800 м</t>
  </si>
  <si>
    <t>1500 м</t>
  </si>
  <si>
    <t>25 м</t>
  </si>
  <si>
    <t>Плавание в классических ластах</t>
  </si>
  <si>
    <t>Эстафетное плавание</t>
  </si>
  <si>
    <t>4х50 м</t>
  </si>
  <si>
    <t>4х100 м</t>
  </si>
  <si>
    <t>4х200 м</t>
  </si>
  <si>
    <t>Младшие юноши (13 лет и младше)</t>
  </si>
  <si>
    <t>Старшие юноши (14-15 лет)</t>
  </si>
  <si>
    <t>Девочки</t>
  </si>
  <si>
    <t>Мальчики</t>
  </si>
  <si>
    <t>Едини-цы измере-ния</t>
  </si>
  <si>
    <t>Спортивные разряды</t>
  </si>
  <si>
    <t>Юношеские спортивные разряды</t>
  </si>
  <si>
    <t xml:space="preserve">I </t>
  </si>
  <si>
    <t xml:space="preserve">II </t>
  </si>
  <si>
    <t xml:space="preserve">III </t>
  </si>
  <si>
    <t>Плавание в ластах - 50 м</t>
  </si>
  <si>
    <t>00:24,0</t>
  </si>
  <si>
    <t>00:27,4</t>
  </si>
  <si>
    <t>00:26,2</t>
  </si>
  <si>
    <t>00:30,0</t>
  </si>
  <si>
    <t>00:28,4</t>
  </si>
  <si>
    <t>00:32,4</t>
  </si>
  <si>
    <t xml:space="preserve">Плавание в ластах - 100 м </t>
  </si>
  <si>
    <t>00:54,6</t>
  </si>
  <si>
    <t>00:59,6</t>
  </si>
  <si>
    <t>01:04,6</t>
  </si>
  <si>
    <t xml:space="preserve">Плавание в ластах - 200 м </t>
  </si>
  <si>
    <t>02:07,5</t>
  </si>
  <si>
    <t>02:19,3</t>
  </si>
  <si>
    <t>02:31,0</t>
  </si>
  <si>
    <t xml:space="preserve">Плавание в ластах - 400 м </t>
  </si>
  <si>
    <t>04:41,7</t>
  </si>
  <si>
    <t>05:07,6</t>
  </si>
  <si>
    <t>05:33,5</t>
  </si>
  <si>
    <t xml:space="preserve">Плавание в ластах - 800 м </t>
  </si>
  <si>
    <t>00:50,2</t>
  </si>
  <si>
    <t>00:55,0</t>
  </si>
  <si>
    <t>00:54,8</t>
  </si>
  <si>
    <t>01:00,0</t>
  </si>
  <si>
    <t>00:59,4</t>
  </si>
  <si>
    <t>01:05,2</t>
  </si>
  <si>
    <t xml:space="preserve">Ныряние в ластах в длину - 50 м </t>
  </si>
  <si>
    <t>Плавание в классических ластах - 50 м</t>
  </si>
  <si>
    <t>Дайвинг - полоса препятствий</t>
  </si>
  <si>
    <t>Иные условия</t>
  </si>
  <si>
    <t>Сокращения, используемые в настоящих нормах, требованиях и условиях их выполнения по виду спорта «подводный спорт»:</t>
  </si>
  <si>
    <t>МСМК - спортивное звание мастер спорта России международного класса;</t>
  </si>
  <si>
    <t>МС - спортивное звание мастер спорта России;</t>
  </si>
  <si>
    <t>КМС - спортивный разряд кандидат в мастера спорта;</t>
  </si>
  <si>
    <t>оставить единицы</t>
  </si>
  <si>
    <t>Фамилия_1 Имя Отчество</t>
  </si>
  <si>
    <t>Фамилия_2 Имя Отчество</t>
  </si>
  <si>
    <t>Фамилия_3 Имя Отчество</t>
  </si>
  <si>
    <t>Зачетов</t>
  </si>
  <si>
    <t>Состав команды:</t>
  </si>
  <si>
    <t>женщин</t>
  </si>
  <si>
    <t>мужчин</t>
  </si>
  <si>
    <t>в  зачет</t>
  </si>
  <si>
    <t>Год рожд.</t>
  </si>
  <si>
    <t>выступают за команду женщины</t>
  </si>
  <si>
    <t>выступают за команду мужчины</t>
  </si>
  <si>
    <t>Заполни полное и краткое название клуба. Краткое название автоматически проставляется у каждого участника</t>
  </si>
  <si>
    <t>Перед началом работы очистите шаблон от ненужных результатов. Не очищать столбцы Команда, Пол, Тренер, Зачетов, Лично</t>
  </si>
  <si>
    <t>5. Если  участник плывет дистанцию лично - столбце Зачет для этой дистанции  - ставится буква Л, если вне конкурса - буква В. Ячейки окрасятся в желтый и синий цвет соответственно.</t>
  </si>
  <si>
    <t>Например, для ввода 16,56 - нужно набрать 16,56, для ввода 1.34,60 - нужно набрать 134,6, для ввода 15.28,00 - достаточно 1528, для ввода 1:23.15,56 - 12315,56</t>
  </si>
  <si>
    <t>Спортсменам, выступающим в эстафете, проставляется предварительное время команды и номер этапа</t>
  </si>
  <si>
    <t>Разряды  и звания   проставляются в соответствии с  ЕВСК</t>
  </si>
  <si>
    <t>Для распечатки, можно скрыть столбцы Звание, Название клуба, Пол, Тренер, выделить необходимые ячейки. В диалоге Печать  выбрать Вывод  на печать  - Выделенный диапазон</t>
  </si>
  <si>
    <t>Возраст, лет</t>
  </si>
  <si>
    <t>Сведения о соревнованиях:</t>
  </si>
  <si>
    <t>от</t>
  </si>
  <si>
    <t>до</t>
  </si>
  <si>
    <t>Группа</t>
  </si>
  <si>
    <t>Группа 1, лет</t>
  </si>
  <si>
    <t>Группа 2, лет</t>
  </si>
  <si>
    <t>Группа 3, лет</t>
  </si>
  <si>
    <t>Группа 4, лет</t>
  </si>
  <si>
    <t>Дистанций</t>
  </si>
  <si>
    <t>НЕ ИЗМЕНЯТЬ!!! Служебные поля, заполняются организаторами соревнований</t>
  </si>
  <si>
    <t xml:space="preserve">Ограничения по разрядам </t>
  </si>
  <si>
    <t>Настройки:</t>
  </si>
  <si>
    <t>1. Ввести название соревнований и дату проведения.</t>
  </si>
  <si>
    <t>3. Ограничения по разрядам (недопускаемые разряды просто удаляются)</t>
  </si>
  <si>
    <t>Следует иметь ввиду, что расчет возраста ведется от текущей даты, установленной на компьютере. Это необходимо учитывать, если соревнования будут проходить в следующем году.</t>
  </si>
  <si>
    <t xml:space="preserve">2. Ввести возраст  от и до количества лет (не годов рождения!!!)  участников соревнований. У участников, возраст которых не попадает в этот диапазон, года рождения будут высвечиваться на красном фоне. </t>
  </si>
  <si>
    <t>ЛИЧНЫЕ</t>
  </si>
  <si>
    <t>по подводному спорту (1460008511Я) (плавание в ластах)</t>
  </si>
  <si>
    <t>Сокращенное Название</t>
  </si>
  <si>
    <r>
      <t xml:space="preserve">1. Заполни полное и краткое название клуба. Краткое название </t>
    </r>
    <r>
      <rPr>
        <b/>
        <i/>
        <sz val="14"/>
        <color indexed="8"/>
        <rFont val="Times New Roman"/>
        <family val="1"/>
        <charset val="204"/>
      </rPr>
      <t xml:space="preserve">автоматически </t>
    </r>
    <r>
      <rPr>
        <sz val="14"/>
        <color indexed="8"/>
        <rFont val="Times New Roman"/>
        <family val="1"/>
        <charset val="204"/>
      </rPr>
      <t>проставится у каждого участника</t>
    </r>
  </si>
  <si>
    <t>2. Введи фамилию, имя участника.  Верхние строки до жирной разделительной линии предназначены для женского пола, нижние для мужского</t>
  </si>
  <si>
    <t>При сохранении заявки в названии файла указать Название команды и(или) Фамилию тренера</t>
  </si>
  <si>
    <t>11. Для распечатки, можно скрыть столбцы Звание, Название клуба, Пол, Тренер, выделить необходимые ячейки. В диалоге Печать  выбрать Вывод  на печать  - Выделенный диапазон</t>
  </si>
  <si>
    <t>5. Спортсменам, выступающим в эстафете, проставляется предварительное время команды и номер этапа</t>
  </si>
  <si>
    <t>6. Разряды и звания проставляются в соответствии с ЕВСК-</t>
  </si>
  <si>
    <t>7. Если не хватает строк у девушек или у юношей - выделить одну или несколько строк, в середине списка девушек или юношей, полностью, правая кнопка мыши- Вставить. После этого выделить ячейку со значением № п/п больше 1, установить курсор мыши на маленький черный квадратик в правом нижнем углу, выделенной ячейки, нажать левую кнопку мыши и потянуть вниз через пустые строки - нумерация должна продолжиться</t>
  </si>
  <si>
    <t>8. Аналогичные действия произвести для стобцов Команда и Пол</t>
  </si>
  <si>
    <t>9. Лишнее (например данный текст) удаляется тоже  путем выделения строк, правая кнопка мыши - Удалить</t>
  </si>
  <si>
    <t>10. В случае превышения суммарного количества дистанций на одного участника (ячейка G7), количества дистанций  в командном зачете - ячейки с количеством зачетов (или дистанций лично) выделяется красным цветом.</t>
  </si>
  <si>
    <t>шаг 3</t>
  </si>
  <si>
    <t>шаг3</t>
  </si>
  <si>
    <t>Шаг 1</t>
  </si>
  <si>
    <t>Шаг 2</t>
  </si>
  <si>
    <t>Шаг 4</t>
  </si>
  <si>
    <t>Кол-во дорожек</t>
  </si>
  <si>
    <t>09.05.12 Ярославль</t>
  </si>
  <si>
    <r>
      <t>09.05.12 Ярославль</t>
    </r>
    <r>
      <rPr>
        <b/>
        <i/>
        <sz val="7"/>
        <color theme="1"/>
        <rFont val="Times New Roman"/>
        <family val="1"/>
        <charset val="204"/>
      </rPr>
      <t xml:space="preserve"> </t>
    </r>
  </si>
  <si>
    <r>
      <t>10.05.12 Ярославль</t>
    </r>
    <r>
      <rPr>
        <b/>
        <i/>
        <sz val="7"/>
        <color theme="1"/>
        <rFont val="Times New Roman"/>
        <family val="1"/>
        <charset val="204"/>
      </rPr>
      <t xml:space="preserve"> </t>
    </r>
  </si>
  <si>
    <t>04.05.14 С-Петербург</t>
  </si>
  <si>
    <t>28.06.14 Ханья</t>
  </si>
  <si>
    <t>21.06.13 Челябинск</t>
  </si>
  <si>
    <t>21.07.04 Егер</t>
  </si>
  <si>
    <t>10.05.07 Пермь</t>
  </si>
  <si>
    <t>13.06.12 С-Петербург</t>
  </si>
  <si>
    <t xml:space="preserve">04.06.10 Пикалево </t>
  </si>
  <si>
    <t>23.07.04 Егер</t>
  </si>
  <si>
    <t>25.06.13 Челябинск</t>
  </si>
  <si>
    <t>30.07.10 Казань</t>
  </si>
  <si>
    <t>26.02.05 Кемерово</t>
  </si>
  <si>
    <t xml:space="preserve">16.07.12 Грац </t>
  </si>
  <si>
    <t>22.05.14 Челябинск</t>
  </si>
  <si>
    <t xml:space="preserve">22.05.14 Челябинск </t>
  </si>
  <si>
    <t xml:space="preserve">23.02.13 Бийск </t>
  </si>
  <si>
    <t>16.06.05 Москва</t>
  </si>
  <si>
    <t>09.08.13 Казань</t>
  </si>
  <si>
    <t xml:space="preserve">06.08.13 Казань </t>
  </si>
  <si>
    <t>18.07.12 Грац</t>
  </si>
  <si>
    <t xml:space="preserve">22.06.13 Челябинск </t>
  </si>
  <si>
    <t xml:space="preserve">10.07.13 Шецин </t>
  </si>
  <si>
    <t xml:space="preserve">16.12.09 С.Петербург </t>
  </si>
  <si>
    <t xml:space="preserve"> 26.10.14 Ольштен </t>
  </si>
  <si>
    <t xml:space="preserve">15.06.12 С-Петербург </t>
  </si>
  <si>
    <t>02.05.14 С-Петербург</t>
  </si>
  <si>
    <t>03.05.13 С-Петербург</t>
  </si>
  <si>
    <t>17.05.13 Ачинск</t>
  </si>
  <si>
    <t>03.05.14 С-Петербург</t>
  </si>
  <si>
    <t>02.05.13 С-Петербург</t>
  </si>
  <si>
    <t>18.05.13 Ачинск</t>
  </si>
  <si>
    <t>17.06.09 С-Петербург</t>
  </si>
  <si>
    <t>18.12.11 Новосибирск</t>
  </si>
  <si>
    <t>12.07.13 Шецин</t>
  </si>
  <si>
    <t>02.08.05 Островец</t>
  </si>
  <si>
    <t>04.08.05 Островец</t>
  </si>
  <si>
    <t>27.03.14 Челябинск</t>
  </si>
  <si>
    <t>05.04.11 Бийск</t>
  </si>
  <si>
    <t xml:space="preserve">02.05.13 С-Петербург </t>
  </si>
  <si>
    <t>06.05.11 Балаково</t>
  </si>
  <si>
    <t xml:space="preserve">08.12.12 Ачинск </t>
  </si>
  <si>
    <t>11.12.10 Новосибирск</t>
  </si>
  <si>
    <t xml:space="preserve">07.12.12 Ачинск </t>
  </si>
  <si>
    <t>04.05.13 С-Петербург</t>
  </si>
  <si>
    <t>09.01.01 Томск</t>
  </si>
  <si>
    <t>28.03.14 Челябинск</t>
  </si>
  <si>
    <t>08.04.10 Пермь</t>
  </si>
  <si>
    <t>Ж</t>
  </si>
  <si>
    <t>М</t>
  </si>
  <si>
    <t>8 дорожек</t>
  </si>
  <si>
    <t>4 дорожки</t>
  </si>
  <si>
    <t>6 дорожек</t>
  </si>
  <si>
    <t>Эстафета 4х100м</t>
  </si>
  <si>
    <t>Клуб 9</t>
  </si>
  <si>
    <t>Клуб 10</t>
  </si>
  <si>
    <t>Клуб 11</t>
  </si>
  <si>
    <t>Клуб 12</t>
  </si>
  <si>
    <t>Шаг 3</t>
  </si>
  <si>
    <t>Заплыв __________ дорожка_____</t>
  </si>
  <si>
    <t>зачет</t>
  </si>
  <si>
    <t>Этап</t>
  </si>
  <si>
    <t>Дата рождения</t>
  </si>
  <si>
    <t>Тренеры:</t>
  </si>
  <si>
    <t>От команды</t>
  </si>
  <si>
    <t>Статус</t>
  </si>
  <si>
    <t>Допуск врача</t>
  </si>
  <si>
    <t>Судьи:</t>
  </si>
  <si>
    <t>Проводимых в</t>
  </si>
  <si>
    <t>в период</t>
  </si>
  <si>
    <t>Представитель команды</t>
  </si>
  <si>
    <t>Фамилия, имя, отчество участника</t>
  </si>
  <si>
    <t>ЗАЯВКА</t>
  </si>
  <si>
    <t>Председатель Федерации Подводного Спорта Региона</t>
  </si>
  <si>
    <t>Приложение № 2 
к Положению о межрегиональных и всероссийских официальных спортивных соревнованиях по подводному спорту</t>
  </si>
  <si>
    <t>г. Город, бассейн "ААА", 50 м</t>
  </si>
  <si>
    <t>Сроки проведения:</t>
  </si>
  <si>
    <t>Место проведения:</t>
  </si>
  <si>
    <t>Название Соревнований по подводному спорту (1460008511Я) (плавание в ластах)</t>
  </si>
  <si>
    <t>Полное Название команды, город(край, область и пр.)</t>
  </si>
  <si>
    <t>Полное Название команды, город (край, область и пр.)</t>
  </si>
  <si>
    <t>1. Ввести название соревнований и сроки и место проведения.</t>
  </si>
  <si>
    <t>02-06 февраля 2015 г.</t>
  </si>
  <si>
    <t>Сокращенное название</t>
  </si>
  <si>
    <t>1. Верхние строки до жирной разделительной линии предназначены для женского пола, нижние для мужского</t>
  </si>
  <si>
    <t>6. В случае если участник моложе или старше годов рождения, указанных в Положении о соревнованиях, имеет подготовку ниже разряда указанного в Положении о соревнованиях - соответствующая ячейка выделяется красным цветом</t>
  </si>
  <si>
    <t>7. В случае превышения суммарного количества дистанций на одного участника, количества дистанций  в командном зачете - ячейки с количеством зачетов (или дистанций лично) выделяется красным цветом.</t>
  </si>
  <si>
    <t>8. В случае превышения суммарного количества участников, выступающих за команду  - ячейки с количеством выступающих за команду участников выделяются красным цветом.</t>
  </si>
  <si>
    <r>
      <rPr>
        <b/>
        <u/>
        <sz val="14"/>
        <color indexed="8"/>
        <rFont val="Times New Roman"/>
        <family val="1"/>
        <charset val="204"/>
      </rPr>
      <t xml:space="preserve">ВНИМАНИЕ!! </t>
    </r>
    <r>
      <rPr>
        <b/>
        <sz val="14"/>
        <color indexed="8"/>
        <rFont val="Times New Roman"/>
        <family val="1"/>
        <charset val="204"/>
      </rPr>
      <t xml:space="preserve">Предварительное время проставляется в формате </t>
    </r>
    <r>
      <rPr>
        <b/>
        <sz val="14"/>
        <color rgb="FFFF0000"/>
        <rFont val="Times New Roman"/>
        <family val="1"/>
        <charset val="204"/>
      </rPr>
      <t>ччммсс,дс</t>
    </r>
    <r>
      <rPr>
        <b/>
        <sz val="14"/>
        <color indexed="8"/>
        <rFont val="Times New Roman"/>
        <family val="1"/>
        <charset val="204"/>
      </rPr>
      <t xml:space="preserve">. Т.е. вводится только запятая перед десятыми. </t>
    </r>
  </si>
  <si>
    <r>
      <t xml:space="preserve">Незначащие нули вначале игнорируются. </t>
    </r>
    <r>
      <rPr>
        <b/>
        <sz val="14"/>
        <color rgb="FFFF0000"/>
        <rFont val="Times New Roman"/>
        <family val="1"/>
        <charset val="204"/>
      </rPr>
      <t>В случае неправильного ввода (ввод точек, лишних запятых, некорректных значений) ячейка выделяется красным цветом.</t>
    </r>
  </si>
  <si>
    <r>
      <t xml:space="preserve">ПОРЯДОК ЗАПОЛНЕНИЯ </t>
    </r>
    <r>
      <rPr>
        <b/>
        <u/>
        <sz val="14"/>
        <color rgb="FFC00000"/>
        <rFont val="Times New Roman"/>
        <family val="1"/>
        <charset val="204"/>
      </rPr>
      <t>(ВНИМАНИЕ!!! При заполнении технической заявки автоматически будет заполняться Именная заявка. Будьте внимательны!)</t>
    </r>
  </si>
  <si>
    <r>
      <t xml:space="preserve">4. </t>
    </r>
    <r>
      <rPr>
        <b/>
        <u/>
        <sz val="14"/>
        <color indexed="8"/>
        <rFont val="Times New Roman"/>
        <family val="1"/>
        <charset val="204"/>
      </rPr>
      <t xml:space="preserve">ВНИМАНИЕ!! </t>
    </r>
    <r>
      <rPr>
        <b/>
        <sz val="14"/>
        <color indexed="8"/>
        <rFont val="Times New Roman"/>
        <family val="1"/>
        <charset val="204"/>
      </rPr>
      <t xml:space="preserve">Предварительное время проставляется в формате </t>
    </r>
    <r>
      <rPr>
        <b/>
        <sz val="14"/>
        <color rgb="FFFF0000"/>
        <rFont val="Times New Roman"/>
        <family val="1"/>
        <charset val="204"/>
      </rPr>
      <t>ччммсс,дс</t>
    </r>
    <r>
      <rPr>
        <b/>
        <sz val="14"/>
        <color indexed="8"/>
        <rFont val="Times New Roman"/>
        <family val="1"/>
        <charset val="204"/>
      </rPr>
      <t xml:space="preserve">. Т.е. вводится только запятая перед десятыми. </t>
    </r>
  </si>
  <si>
    <r>
      <t xml:space="preserve">3. Ввведи год рождения - при вводе года рождения </t>
    </r>
    <r>
      <rPr>
        <b/>
        <i/>
        <sz val="14"/>
        <color indexed="8"/>
        <rFont val="Times New Roman"/>
        <family val="1"/>
        <charset val="204"/>
      </rPr>
      <t>автоматически</t>
    </r>
    <r>
      <rPr>
        <sz val="14"/>
        <color indexed="8"/>
        <rFont val="Times New Roman"/>
        <family val="1"/>
        <charset val="204"/>
      </rPr>
      <t xml:space="preserve"> проставится пол участника и возрастная группа.</t>
    </r>
  </si>
  <si>
    <t>Министр спорта Региона (председатель спорткомитета, директор ДЮСТШ)</t>
  </si>
  <si>
    <t>Акватлон (борьба в ластах)  (1460281811Я), мужчины</t>
  </si>
  <si>
    <t>Марафонский заплыв в ластах 6 км (1460201811Я), женщины</t>
  </si>
  <si>
    <t>Марафонский заплыв в ластах 6 км (1460201811Я), мужчины</t>
  </si>
  <si>
    <r>
      <t>Апноэ – динамическое  (</t>
    </r>
    <r>
      <rPr>
        <b/>
        <u/>
        <sz val="11"/>
        <color theme="1"/>
        <rFont val="Times New Roman"/>
        <family val="1"/>
        <charset val="204"/>
      </rPr>
      <t>1460311811Л), мужчины</t>
    </r>
  </si>
  <si>
    <r>
      <t>Апноэ - динамическое в ластах (</t>
    </r>
    <r>
      <rPr>
        <b/>
        <u/>
        <sz val="11"/>
        <color theme="1"/>
        <rFont val="Times New Roman"/>
        <family val="1"/>
        <charset val="204"/>
      </rPr>
      <t>1460321811Л), мужчины</t>
    </r>
  </si>
  <si>
    <r>
      <t>Апноэ - скоростное 100 м (</t>
    </r>
    <r>
      <rPr>
        <b/>
        <u/>
        <sz val="11"/>
        <color theme="1"/>
        <rFont val="Times New Roman"/>
        <family val="1"/>
        <charset val="204"/>
      </rPr>
      <t>1460211811Л), мужчины</t>
    </r>
  </si>
  <si>
    <t>Апноэ – статическое (1460341811Л), мужчины</t>
  </si>
  <si>
    <t>Апноэ – квадрат (1460331811Л), мужчины</t>
  </si>
  <si>
    <t>Дайвинг - комбинированное плавание (1460271811Я), мужчины</t>
  </si>
  <si>
    <t>Дайвинг – ночной (1460351811Я), мужчины</t>
  </si>
  <si>
    <t>Дайвинг - подъем груза (1460361811Я), мужчины</t>
  </si>
  <si>
    <t>Дайвинг - полоса препятствий (1460301811Я), мужчины</t>
  </si>
  <si>
    <t>Подводная охота (1460231811Л), мужчины</t>
  </si>
  <si>
    <t>Подводное регби (1460292811Я), мужчины</t>
  </si>
  <si>
    <t>Акватлон (борьба в ластах)  (1460281811Я), женщины</t>
  </si>
  <si>
    <t>Апноэ – динамическое  (1460311811Л), женщины</t>
  </si>
  <si>
    <t>Апноэ - динамическое в ластах (1460321811Л), женщины</t>
  </si>
  <si>
    <t>Апноэ - скоростное 100 м (1460211811Л), женщины</t>
  </si>
  <si>
    <t>Апноэ – статическое (1460341811Л), женщины</t>
  </si>
  <si>
    <t>Апноэ – квадрат (1460331811Л), женщины</t>
  </si>
  <si>
    <t>Дайвинг - комбинированное плавание (1460271811Я), женщины</t>
  </si>
  <si>
    <t>Дайвинг – ночной (1460351811Я), женщины</t>
  </si>
  <si>
    <t>Дайвинг - подъем груза (1460361811Я), женщины</t>
  </si>
  <si>
    <t>Дайвинг - полоса препятствий (1460301811Я), женщины</t>
  </si>
  <si>
    <t>Подводная охота (1460231811Л), женщины</t>
  </si>
  <si>
    <t>Подводное регби (1460292811Я), женщины</t>
  </si>
  <si>
    <t>Ориентирование- упражнение  "звезда" (1460021811Я), мужчины</t>
  </si>
  <si>
    <t>Ориентирование- упражнение  "зоны" (1460011811Я), мужчины</t>
  </si>
  <si>
    <t>Ориентирование- упражнение "ориентиры" (1460041811Я), мужчины</t>
  </si>
  <si>
    <t>Ориентирование- упражнение "карта" (1460031811Л), мужчины</t>
  </si>
  <si>
    <t>Ориентирование-групповое упражнение (1460051811Я), мужчины</t>
  </si>
  <si>
    <t>Ориентирование-групповое упражнение "карта" (1460061811Л), мужчины</t>
  </si>
  <si>
    <t>Ориентирование-параллель (1460071811Я), мужчины</t>
  </si>
  <si>
    <t>Ориентирование- упражнение  "зоны" (1460011811Я), женщины</t>
  </si>
  <si>
    <t>Ориентирование- упражнение  "звезда" (1460021811Я), женщины</t>
  </si>
  <si>
    <t>Ориентирование- упражнение "карта" (1460031811Л), женщины</t>
  </si>
  <si>
    <t>Ориентирование- упражнение "ориентиры" (1460041811Я), женщины</t>
  </si>
  <si>
    <t>Ориентирование-групповое упражнение (1460051811Я), женщины</t>
  </si>
  <si>
    <t>Ориентирование-групповое упражнение "карта" (1460061811Л), женщины</t>
  </si>
  <si>
    <t>Ориентирование-параллель (1460071811Я), женщины</t>
  </si>
  <si>
    <t>Марафонский заплыв в ластах 12-20 км, женщины</t>
  </si>
  <si>
    <t>Марафонский заплыв в ластах 12-20 км, мужчины</t>
  </si>
  <si>
    <t>В зависимости от ранга соревнований и занятого места</t>
  </si>
  <si>
    <r>
      <t xml:space="preserve">4. </t>
    </r>
    <r>
      <rPr>
        <b/>
        <i/>
        <u/>
        <sz val="14"/>
        <color rgb="FF002060"/>
        <rFont val="Times New Roman"/>
        <family val="1"/>
        <charset val="204"/>
      </rPr>
      <t>Перед отправкой представителям.</t>
    </r>
    <r>
      <rPr>
        <b/>
        <i/>
        <sz val="11"/>
        <color rgb="FF002060"/>
        <rFont val="Times New Roman"/>
        <family val="1"/>
        <charset val="204"/>
      </rPr>
      <t xml:space="preserve"> Выделяются строки (именно строки!!!) с 1 по 13 (окрашены синим цветом), нажимается правая кнопка мыши и выбирается "Скрыть". Сохранить файл  под нужным Вам названием. Для отображения настроек соревнований выделить строки (именно строки!!!) с 14 и вверх , нажать правую кнопку мыши  и выбрать " Отобразить" (или "Показать")</t>
    </r>
  </si>
  <si>
    <t>4. Выделяются строки (именно строки!!!) с 1 по 13 (окрашены синим цветом), нажимается правая кнопка мыши и выбирается "Скрыть". Сохранить файл  под нужным Вам названием. Для отображения настроек соревнований выделить строки (именно строки!!!) с 14 и вверх , нажать правую кнопку мыши  и выбрать " Отобразить" (или "Показать")</t>
  </si>
  <si>
    <t>финал</t>
  </si>
  <si>
    <t>предв.</t>
  </si>
  <si>
    <r>
      <t>Апноэ – динамическое  (</t>
    </r>
    <r>
      <rPr>
        <b/>
        <u/>
        <sz val="10"/>
        <color theme="1"/>
        <rFont val="Times New Roman"/>
        <family val="1"/>
        <charset val="204"/>
      </rPr>
      <t>1460311811Л), мужчины</t>
    </r>
  </si>
  <si>
    <r>
      <t>Апноэ - динамическое в ластах (</t>
    </r>
    <r>
      <rPr>
        <b/>
        <u/>
        <sz val="10"/>
        <color theme="1"/>
        <rFont val="Times New Roman"/>
        <family val="1"/>
        <charset val="204"/>
      </rPr>
      <t>1460321811Л), мужчины</t>
    </r>
  </si>
  <si>
    <r>
      <t>Апноэ - скоростное 100 м (</t>
    </r>
    <r>
      <rPr>
        <b/>
        <u/>
        <sz val="10"/>
        <color theme="1"/>
        <rFont val="Times New Roman"/>
        <family val="1"/>
        <charset val="204"/>
      </rPr>
      <t>1460211811Л), мужчины</t>
    </r>
  </si>
  <si>
    <t>Др. межд-ные</t>
  </si>
  <si>
    <t>Чемпионат России</t>
  </si>
  <si>
    <t>Финал Кубка России</t>
  </si>
  <si>
    <t>Первенство России</t>
  </si>
  <si>
    <t>Сор-ния ЕКП</t>
  </si>
  <si>
    <t>Чемпионат фед-го округа,гг. Москва, С-Петербург</t>
  </si>
  <si>
    <t>Чемпионат Субъекта</t>
  </si>
  <si>
    <t>Кубок Субъекта</t>
  </si>
  <si>
    <t>Официальные сор-ния Муниципального образования</t>
  </si>
  <si>
    <t>ОТЧЕТ</t>
  </si>
  <si>
    <t xml:space="preserve">          </t>
  </si>
  <si>
    <t xml:space="preserve">  </t>
  </si>
  <si>
    <t xml:space="preserve"> </t>
  </si>
  <si>
    <t>Команда (субъект РФ)</t>
  </si>
  <si>
    <t>Спортсмены</t>
  </si>
  <si>
    <t>Всего</t>
  </si>
  <si>
    <t xml:space="preserve"> Возрастные группы в соответствии  с ЕВСК</t>
  </si>
  <si>
    <t xml:space="preserve">Всего  </t>
  </si>
  <si>
    <t xml:space="preserve">Юноши </t>
  </si>
  <si>
    <t xml:space="preserve">ЗМС, МСМК </t>
  </si>
  <si>
    <t>Спортсмен</t>
  </si>
  <si>
    <t>золото</t>
  </si>
  <si>
    <t>серебро</t>
  </si>
  <si>
    <t>бронза</t>
  </si>
  <si>
    <t>Приложения.</t>
  </si>
  <si>
    <t xml:space="preserve"> «____» _____________ 2014  г.</t>
  </si>
  <si>
    <t xml:space="preserve">                              </t>
  </si>
  <si>
    <t>главной судейской коллегии</t>
  </si>
  <si>
    <t>Сроки проведения</t>
  </si>
  <si>
    <t xml:space="preserve">1. </t>
  </si>
  <si>
    <t xml:space="preserve">2. </t>
  </si>
  <si>
    <t xml:space="preserve">3. </t>
  </si>
  <si>
    <t>Всего участников соревнований</t>
  </si>
  <si>
    <r>
      <rPr>
        <sz val="14"/>
        <color theme="1"/>
        <rFont val="Times New Roman"/>
        <family val="1"/>
        <charset val="204"/>
      </rPr>
      <t>О проведении  первенства России по</t>
    </r>
    <r>
      <rPr>
        <sz val="12"/>
        <color theme="1"/>
        <rFont val="Times New Roman"/>
        <family val="1"/>
        <charset val="204"/>
      </rPr>
      <t/>
    </r>
  </si>
  <si>
    <t>, из</t>
  </si>
  <si>
    <t xml:space="preserve">4.   __________ , из  __________ </t>
  </si>
  <si>
    <t>Место проведения (субъект РФ, город)</t>
  </si>
  <si>
    <t>Наименование спортивного сооружения</t>
  </si>
  <si>
    <t>Спортсменов</t>
  </si>
  <si>
    <t>чел. , в том числе</t>
  </si>
  <si>
    <t>мужчин,</t>
  </si>
  <si>
    <t xml:space="preserve">Представителей, тренеров </t>
  </si>
  <si>
    <t xml:space="preserve">чел.  </t>
  </si>
  <si>
    <t>5.</t>
  </si>
  <si>
    <t>Количество судей (всего)</t>
  </si>
  <si>
    <t>чел., в том числе иногородних</t>
  </si>
  <si>
    <t>1 разряд</t>
  </si>
  <si>
    <t>2 разряд</t>
  </si>
  <si>
    <t>3 разряд</t>
  </si>
  <si>
    <t xml:space="preserve">1 юношеский разряд </t>
  </si>
  <si>
    <t>10.</t>
  </si>
  <si>
    <t>9.</t>
  </si>
  <si>
    <t>6.</t>
  </si>
  <si>
    <t>Состав участвующих команд (регионов), в том числе количество спортсменов, тренеров и другого обслуживающего персонала:</t>
  </si>
  <si>
    <t>Тренеры и др. обсл. персонал</t>
  </si>
  <si>
    <t>7.</t>
  </si>
  <si>
    <t>Уровень подготовки спортсменов:</t>
  </si>
  <si>
    <t>8.</t>
  </si>
  <si>
    <t>Представительство спортивных организаций:</t>
  </si>
  <si>
    <t>Вооруженные силы</t>
  </si>
  <si>
    <t>,  Минобрнауки России</t>
  </si>
  <si>
    <t>, «Динамо»</t>
  </si>
  <si>
    <t>,</t>
  </si>
  <si>
    <t>ФСО профсоюзов «Россия»</t>
  </si>
  <si>
    <t>, «Юность России»</t>
  </si>
  <si>
    <t>, РС СО «Спартак»</t>
  </si>
  <si>
    <t xml:space="preserve">, </t>
  </si>
  <si>
    <t xml:space="preserve">РФСО «Локомотив» </t>
  </si>
  <si>
    <t>, спортивные клубы (СК)</t>
  </si>
  <si>
    <t>,  РССС</t>
  </si>
  <si>
    <t>другие организации</t>
  </si>
  <si>
    <t>Принадлежность к спортивной школе:</t>
  </si>
  <si>
    <t>человек</t>
  </si>
  <si>
    <t>ДЮСШ</t>
  </si>
  <si>
    <t>, СДЮШОР</t>
  </si>
  <si>
    <t>, УОР</t>
  </si>
  <si>
    <t>, другие организации</t>
  </si>
  <si>
    <t>11.</t>
  </si>
  <si>
    <t>Выполнение (подтверждение) нормативов (количество показанных результатов):</t>
  </si>
  <si>
    <t>Результаты  соревнований:</t>
  </si>
  <si>
    <t>Занятые места</t>
  </si>
  <si>
    <t>12.</t>
  </si>
  <si>
    <t>Количество медалей</t>
  </si>
  <si>
    <t>13.</t>
  </si>
  <si>
    <t xml:space="preserve">Общая оценка состояния спортивной базы, наличие и состояние спортивного оборудования и инвентаря, возможности для разминки и тренировок: </t>
  </si>
  <si>
    <t>Количество субъектов Российской Федерации команд (перечислить территории согласно занятым местам):</t>
  </si>
  <si>
    <t>14.</t>
  </si>
  <si>
    <t>Общая оценка состояния и оснащения служебных помещений - раздевалок для спортсменов, помещений для судей и других служб:</t>
  </si>
  <si>
    <t>15.</t>
  </si>
  <si>
    <t>Информационное обеспечение соревнований - табло, радиоинформация, своевременность и доступность стартовых протоколов и результатов соревнований, обеспечение судейской коллегии средствами вычислительной техники и множительной аппаратурой:</t>
  </si>
  <si>
    <t xml:space="preserve">16. </t>
  </si>
  <si>
    <t xml:space="preserve">Обеспечение работы средств массовой информации - места на трибунах, помещение для пресс-центра и т.д., в том числе освещение соревнования в местных СМИ (копии публикаций в СМИ прилагаются): </t>
  </si>
  <si>
    <t>17.</t>
  </si>
  <si>
    <t>Количество зрителей_________________чел.</t>
  </si>
  <si>
    <t>18.</t>
  </si>
  <si>
    <t>Общая оценка качества проведения соревнований - точность соблюдения расписания, объективность судейства (с указанием нарушений правил соревнований и т.д.):</t>
  </si>
  <si>
    <t xml:space="preserve">Медицинское обеспечение соревнований, в том числе сведения о травмах и других несчастных случаях: </t>
  </si>
  <si>
    <t>19.</t>
  </si>
  <si>
    <t>20.</t>
  </si>
  <si>
    <t xml:space="preserve">Общая оценка качества размещения, питания, транспортного обслуживания, организации встреч и проводов спортивных делегаций, шефская работа и т.п.: </t>
  </si>
  <si>
    <t>21.</t>
  </si>
  <si>
    <t>Общая оценка соблюдения мер по обеспечению безопасности при проведении соревнования:</t>
  </si>
  <si>
    <t>22.</t>
  </si>
  <si>
    <t>Выводы и предложения (замечания) по подготовке и проведению соревнования:</t>
  </si>
  <si>
    <t xml:space="preserve"> 1.</t>
  </si>
  <si>
    <t>Полный состав судейской коллегии с указанием выполняемых на соревновании функций (судейская категория, субъект РФ, город).</t>
  </si>
  <si>
    <t xml:space="preserve">3.  </t>
  </si>
  <si>
    <t xml:space="preserve">Итоги командного первенства. </t>
  </si>
  <si>
    <t>4.</t>
  </si>
  <si>
    <t>Протоколы (результаты) соревнований, подписанные главным судьей и главным секретарем.</t>
  </si>
  <si>
    <t xml:space="preserve">(подпись) </t>
  </si>
  <si>
    <t>(расшифровка подписи)              печать</t>
  </si>
  <si>
    <t>(расшифровка подписи)</t>
  </si>
  <si>
    <t>6 км</t>
  </si>
  <si>
    <t>4 х 2 км</t>
  </si>
  <si>
    <t xml:space="preserve">Уровень подготовки судей по судейским категориям: </t>
  </si>
  <si>
    <t>МК</t>
  </si>
  <si>
    <t>, ВК</t>
  </si>
  <si>
    <t>других категорий.</t>
  </si>
  <si>
    <t>Юниоры</t>
  </si>
  <si>
    <t>Юниорки</t>
  </si>
  <si>
    <t>, I кат.</t>
  </si>
  <si>
    <t>Кол. дист.</t>
  </si>
  <si>
    <t>ЭСТАФЕТНАЯ КАРТОЧКА</t>
  </si>
  <si>
    <t>Вид дистанции</t>
  </si>
  <si>
    <t>Планируемый результат</t>
  </si>
  <si>
    <t>Разряд</t>
  </si>
  <si>
    <t>Заплыв</t>
  </si>
  <si>
    <t>результат</t>
  </si>
  <si>
    <t>Ст. секундометрист</t>
  </si>
  <si>
    <t>Время</t>
  </si>
  <si>
    <t>Яровицкая Вера</t>
  </si>
  <si>
    <t>Дианема</t>
  </si>
  <si>
    <t>Жаткина Анастасия</t>
  </si>
  <si>
    <t>Мельникова Елизавета</t>
  </si>
  <si>
    <t>Варламова Надежда</t>
  </si>
  <si>
    <t>Плотникова Полина</t>
  </si>
  <si>
    <t>Кочнева Валерия</t>
  </si>
  <si>
    <t>Тимофеева Маргарита</t>
  </si>
  <si>
    <t>23.04.99 Красноярск</t>
  </si>
  <si>
    <t>Коваль Никита</t>
  </si>
  <si>
    <t>Сухарева Алина</t>
  </si>
  <si>
    <t>Бабаев Федор</t>
  </si>
  <si>
    <t xml:space="preserve">Марченко Леонид </t>
  </si>
  <si>
    <t>Замятина Дарья</t>
  </si>
  <si>
    <t>Попов Вячеслав</t>
  </si>
  <si>
    <t>Горохова Кристина</t>
  </si>
  <si>
    <t>Пономарев Сергей</t>
  </si>
  <si>
    <t>Михневич Анатолий</t>
  </si>
  <si>
    <t>Логунов С.</t>
  </si>
  <si>
    <t>Одинокин Павел</t>
  </si>
  <si>
    <t>Кузнецова Аллена</t>
  </si>
  <si>
    <t>16.12.10 Красноярск</t>
  </si>
  <si>
    <t xml:space="preserve">27.11.13 Красноярск </t>
  </si>
  <si>
    <t>02.05.99 Красноярск</t>
  </si>
  <si>
    <t>Калинина Даяна</t>
  </si>
  <si>
    <t>Кузнецова Анна</t>
  </si>
  <si>
    <t>Соколов Владимир</t>
  </si>
  <si>
    <t>Минаев Семён</t>
  </si>
  <si>
    <t>Харина Анна</t>
  </si>
  <si>
    <t>Зыков Анатолий</t>
  </si>
  <si>
    <t xml:space="preserve">Мельникова Елизавета </t>
  </si>
  <si>
    <t>15.10.11 Красноярск</t>
  </si>
  <si>
    <t xml:space="preserve">14.03.13 Красноярск </t>
  </si>
  <si>
    <t xml:space="preserve">Кочнева Валерия </t>
  </si>
  <si>
    <t>05.10.10 Красноярск</t>
  </si>
  <si>
    <t>06.03.12 Красноярск</t>
  </si>
  <si>
    <t xml:space="preserve">Майстренко Дарья </t>
  </si>
  <si>
    <t xml:space="preserve">01.05.13 Красноярск </t>
  </si>
  <si>
    <t>Логунов Семён</t>
  </si>
  <si>
    <t>Логунов Семен</t>
  </si>
  <si>
    <t>Марковцова Алина</t>
  </si>
  <si>
    <t>27.11.13 Красноярск</t>
  </si>
  <si>
    <t>24.11.12 Красноярск</t>
  </si>
  <si>
    <t>Ямковая Дарья</t>
  </si>
  <si>
    <t>27.04.13 Красноярск</t>
  </si>
  <si>
    <t>11.04.09 Красноярск</t>
  </si>
  <si>
    <t>23.01.02 Красноярск</t>
  </si>
  <si>
    <t>04.04.13 Красноярск</t>
  </si>
  <si>
    <t>Аршанов Денис</t>
  </si>
  <si>
    <t>Пахомова Маргарита</t>
  </si>
  <si>
    <t xml:space="preserve">Ямковая Дарья </t>
  </si>
  <si>
    <t>06.04.00 Красноярск</t>
  </si>
  <si>
    <t>24.01.02 Красноярск</t>
  </si>
  <si>
    <t>05.03.04 Красноярск</t>
  </si>
  <si>
    <t>Евтушенко Евгений</t>
  </si>
  <si>
    <t>Кононова Елена</t>
  </si>
  <si>
    <t>07.05.03 Красноярск</t>
  </si>
  <si>
    <t>01.05.01 Красноярск</t>
  </si>
  <si>
    <t>03.03.04 Красноярск</t>
  </si>
  <si>
    <t>02.09.03 Чеджудо</t>
  </si>
  <si>
    <t>10.05.03 Красноярск</t>
  </si>
  <si>
    <t>17.12.11 Новосибирск</t>
  </si>
  <si>
    <t>19.06.09 С-Петербург</t>
  </si>
  <si>
    <t>Бабкина Марина</t>
  </si>
  <si>
    <t>18.03.11 Красноярск</t>
  </si>
  <si>
    <t xml:space="preserve">12.12.13 Красноярск </t>
  </si>
  <si>
    <r>
      <t xml:space="preserve">Рекорды Красноярского края по плаванию в ластах на 01.11.2014 </t>
    </r>
    <r>
      <rPr>
        <b/>
        <i/>
        <sz val="9"/>
        <color theme="1"/>
        <rFont val="Times New Roman"/>
        <family val="1"/>
        <charset val="204"/>
      </rPr>
      <t>(желтым - электроника)</t>
    </r>
  </si>
  <si>
    <t>Дроздов Михаил</t>
  </si>
  <si>
    <t>Пиляев Никита</t>
  </si>
  <si>
    <t>Чудинова Елена</t>
  </si>
  <si>
    <t>Чернецких И.</t>
  </si>
  <si>
    <t>13.12.12 Красноярск</t>
  </si>
  <si>
    <t>Марченко Леонид</t>
  </si>
  <si>
    <t>Прус Сергей</t>
  </si>
  <si>
    <t>Степанов Алексей</t>
  </si>
  <si>
    <t>Нуриев Ринат</t>
  </si>
  <si>
    <t>Зотов Константин</t>
  </si>
  <si>
    <t xml:space="preserve">Кондратьев Виктор </t>
  </si>
  <si>
    <t>15.04.11 Красноярск</t>
  </si>
  <si>
    <t xml:space="preserve"> 16.12.10 Красноярск</t>
  </si>
  <si>
    <t>Айтов Максим</t>
  </si>
  <si>
    <t xml:space="preserve">Кононова Елена </t>
  </si>
  <si>
    <t xml:space="preserve">Бабкина Марина </t>
  </si>
  <si>
    <t xml:space="preserve">Попов Вячеслав </t>
  </si>
  <si>
    <t>17.12.10 Красноярск</t>
  </si>
  <si>
    <t>30.04.16   Санкт-Петербург</t>
  </si>
  <si>
    <t>01.05.16   Санкт-Петербург</t>
  </si>
  <si>
    <t>03.05.16   Санкт-Петербург</t>
  </si>
  <si>
    <t>02.05.16   Санкт-Петербург</t>
  </si>
  <si>
    <t>25.11.15   Красноярск</t>
  </si>
  <si>
    <t>Волков Сергей</t>
  </si>
  <si>
    <t>22.11.14  Красноярск</t>
  </si>
  <si>
    <t>Дроздов михаил</t>
  </si>
  <si>
    <t>22.11.15 Новосибирск</t>
  </si>
  <si>
    <t>03.07.15 Белград</t>
  </si>
  <si>
    <t>Бойченко Егор</t>
  </si>
  <si>
    <t>23.01.16 Красноярск</t>
  </si>
  <si>
    <t>04.02.12 Тосмск</t>
  </si>
  <si>
    <t>Одиновик Павел</t>
  </si>
  <si>
    <t>25.11.15 Красноярск</t>
  </si>
  <si>
    <t>25.11.2015 Красноярск</t>
  </si>
  <si>
    <t>12.05.16 Челябинск</t>
  </si>
  <si>
    <t>Бодня Валерия</t>
  </si>
  <si>
    <t>10.05.16 Челябинск</t>
  </si>
  <si>
    <t>09.05.16 Челябинск</t>
  </si>
  <si>
    <t>11.05.16 Челябинск</t>
  </si>
  <si>
    <t>11.12.14 Красноярск</t>
  </si>
  <si>
    <t xml:space="preserve">04.05.15 С-Петербург </t>
  </si>
  <si>
    <t>03.05.15   Санкт-Петербург</t>
  </si>
  <si>
    <t>02.05.15   Санкт-Петербург</t>
  </si>
  <si>
    <t>01.05.15   Санкт-Петербург</t>
  </si>
  <si>
    <t>28.02.15 Красноярск</t>
  </si>
  <si>
    <t>02.02.04 Красноярск</t>
  </si>
  <si>
    <t>Красносельцева Евгения</t>
  </si>
  <si>
    <t>Аникина Екатерина</t>
  </si>
  <si>
    <t xml:space="preserve">18.03.15 Красноярск </t>
  </si>
  <si>
    <t>Просалова Алина</t>
  </si>
  <si>
    <t>30.03.16 Ярославль</t>
  </si>
  <si>
    <t>Эйсмонт Юлия</t>
  </si>
  <si>
    <t>Кузнецова Алёна</t>
  </si>
  <si>
    <t>Моложаева София</t>
  </si>
  <si>
    <t>Ермолаева София</t>
  </si>
  <si>
    <t>Никифорова Ирина</t>
  </si>
  <si>
    <t>31.03.16 Ярославль</t>
  </si>
  <si>
    <t>Карагашева Стефания</t>
  </si>
  <si>
    <t>Шилова кристина</t>
  </si>
  <si>
    <t>29.03.16 Ярославль</t>
  </si>
  <si>
    <t>Кочан Никита</t>
  </si>
  <si>
    <t>Стопа Александр</t>
  </si>
  <si>
    <t>Кондратенко Алексей</t>
  </si>
  <si>
    <t>Пель Евгений</t>
  </si>
  <si>
    <t>Брагин Константин</t>
  </si>
  <si>
    <t>Пель Е.вгений</t>
  </si>
  <si>
    <t>Логунов Егор</t>
  </si>
  <si>
    <t>Константинов Иван</t>
  </si>
  <si>
    <t>№</t>
  </si>
  <si>
    <t>время</t>
  </si>
  <si>
    <t>6 круг</t>
  </si>
  <si>
    <t>5 круг</t>
  </si>
  <si>
    <t>4 круг</t>
  </si>
  <si>
    <t>3 круг</t>
  </si>
  <si>
    <t>2 круг</t>
  </si>
  <si>
    <t>1 круг</t>
  </si>
  <si>
    <t>Протокол прохождения дистанции ______________</t>
  </si>
  <si>
    <t>за</t>
  </si>
  <si>
    <t>место</t>
  </si>
  <si>
    <t>на Первенстве России</t>
  </si>
  <si>
    <t>по подводному спорту (марафонские заплывы в ластах)</t>
  </si>
  <si>
    <t>на дистанции</t>
  </si>
  <si>
    <t>с результатом</t>
  </si>
  <si>
    <t>06-19 мая 2016 г.</t>
  </si>
  <si>
    <t>г. Кропоткин</t>
  </si>
  <si>
    <t>Приложение №___ к Договору №____</t>
  </si>
  <si>
    <t>от "___"_________20___г.</t>
  </si>
  <si>
    <t xml:space="preserve">  ВЕДОМОСТЬ № 5 НА ВЫДАЧУ ПРИЗОВ ПОБЕДИТЕЛЯМ ПЕРВЕНСТВА РОССИИ ПО ПОДВОДНОМУ СПОРТУ (МАРАФОНСКИЙ ЗАПЛЫВ В ЛАСТАХ) СРЕДИ ЮНОШЕЙ И ДЕВУШЕК ДО 18 ЛЕТ, ПРОХОДИВШЕГО С «16» ПО «19» МАЯ 2016 Г. В ГОРОДЕ КРОПОТКИН (КРАСНОДАРСКИЙ КРАЙ), СМ ПО ЕКП № 7502</t>
  </si>
  <si>
    <t>№ П/П</t>
  </si>
  <si>
    <t>ФАМИЛИЯ, ИМЯ, ОТЧЕСТВО НАГРАЖДАЕМОГО</t>
  </si>
  <si>
    <t>Из какого города и членом какой организации является награжденный</t>
  </si>
  <si>
    <t>За что награжден</t>
  </si>
  <si>
    <t>ОПИСАНИЕ ПРИЗА</t>
  </si>
  <si>
    <t>Стоимость</t>
  </si>
  <si>
    <t>Подпись получателя</t>
  </si>
  <si>
    <t>медаль золото</t>
  </si>
  <si>
    <t>диплом 1 степени</t>
  </si>
  <si>
    <t>медаль серебро</t>
  </si>
  <si>
    <t>диплом 2 степени</t>
  </si>
  <si>
    <t>медаль бронза</t>
  </si>
  <si>
    <t>диплом 3 степени</t>
  </si>
  <si>
    <t>4х2км</t>
  </si>
  <si>
    <t>Всего на сумму:</t>
  </si>
  <si>
    <t>Рекорд края</t>
  </si>
  <si>
    <r>
      <t>Рекорды Красноярского края по плаванию в ластах на 01.11.2016</t>
    </r>
    <r>
      <rPr>
        <b/>
        <i/>
        <sz val="9"/>
        <color theme="1"/>
        <rFont val="Times New Roman"/>
        <family val="1"/>
        <charset val="204"/>
      </rPr>
      <t xml:space="preserve"> (желтым - электроника)</t>
    </r>
  </si>
  <si>
    <t>Рекорд края 16-17 лет</t>
  </si>
  <si>
    <t>Рекорд края 14-15 лет</t>
  </si>
  <si>
    <t>Рекорд края 13 лет и младше</t>
  </si>
  <si>
    <t xml:space="preserve">Выделить и скопировать нужные строки дистанций вместе с рекордами. </t>
  </si>
  <si>
    <t>На странице Стартовый протокол - правая кнопка мыши -Вставить</t>
  </si>
  <si>
    <t>Ручной хроно-метраж</t>
  </si>
  <si>
    <t>Авто-хроно-метраж</t>
  </si>
  <si>
    <t>00:14,90</t>
  </si>
  <si>
    <t>00:16,70</t>
  </si>
  <si>
    <t>00:15,60</t>
  </si>
  <si>
    <t>00:17,50</t>
  </si>
  <si>
    <t>00:16,40</t>
  </si>
  <si>
    <t>00:18,40</t>
  </si>
  <si>
    <t>00:19,60</t>
  </si>
  <si>
    <t>00:19,00</t>
  </si>
  <si>
    <t>00:21,30</t>
  </si>
  <si>
    <t>00:20,60</t>
  </si>
  <si>
    <t>00:23,10</t>
  </si>
  <si>
    <t>4. Нормы и условия их выполнения для присвоения спортивных званий и спортивных разрядов.</t>
  </si>
  <si>
    <t>МСМК выполняется в спортивных дисциплинах в наименованиях которых содержатся слова:</t>
  </si>
  <si>
    <t>«апноэ» с 18 лет; «дайвинг» с 16 лет; «ныряние», «плавание» с 14 лет;</t>
  </si>
  <si>
    <t>МС выполняется в спортивных дисциплинах в наименованиях которых содержатся слова:</t>
  </si>
  <si>
    <t>«апноэ» с 18 лет; «дайвинг», «ныряние» с 14 лет;  «плавание» с 12 лет; «ориентирование» с 15 лет;</t>
  </si>
  <si>
    <t>КМС выполняется в спортивных дисциплинах в наименованиях которых содержатся слова:</t>
  </si>
  <si>
    <t>I, II, III спортивные разряды выполняются в спортивных дисциплинах в наименованиях которых содержатся слова:</t>
  </si>
  <si>
    <t>юношеские спортивные разряды выполняются в спортивных дисциплинах в наименованиях которых содержатся слова:</t>
  </si>
  <si>
    <t>Спортивная дисциплина, стартующий</t>
  </si>
  <si>
    <t>Хроно-метраж</t>
  </si>
  <si>
    <t>Апноэ - динамическое</t>
  </si>
  <si>
    <t>метры</t>
  </si>
  <si>
    <t>Апноэ - динамическое в ластах</t>
  </si>
  <si>
    <t>Апноэ - ныряние в глубину</t>
  </si>
  <si>
    <t>Апноэ - ныряние в глубину в классических ластах</t>
  </si>
  <si>
    <t>Апноэ - ныряние в глубину в ластах</t>
  </si>
  <si>
    <t>Апноэ -                    скоростное 100 м</t>
  </si>
  <si>
    <t>00:34,80</t>
  </si>
  <si>
    <t>00:38,00</t>
  </si>
  <si>
    <t>00:36,80</t>
  </si>
  <si>
    <t>00:40,20</t>
  </si>
  <si>
    <t>00:39,80</t>
  </si>
  <si>
    <t>00:41,80</t>
  </si>
  <si>
    <t>00:42,40</t>
  </si>
  <si>
    <t>00:45,20</t>
  </si>
  <si>
    <t>00:45,80</t>
  </si>
  <si>
    <t>00:48,80</t>
  </si>
  <si>
    <t>00:49,70</t>
  </si>
  <si>
    <t>00:53,20</t>
  </si>
  <si>
    <t>01:32,20</t>
  </si>
  <si>
    <t>01:44,20</t>
  </si>
  <si>
    <t>01:38,70</t>
  </si>
  <si>
    <t>01:51,20</t>
  </si>
  <si>
    <t>01:45,20</t>
  </si>
  <si>
    <t>01:58,70</t>
  </si>
  <si>
    <t>01:52,70</t>
  </si>
  <si>
    <t>02:07,70</t>
  </si>
  <si>
    <t>02:02,70</t>
  </si>
  <si>
    <t>02:16,20</t>
  </si>
  <si>
    <t>02:12,20</t>
  </si>
  <si>
    <t>02:26,70</t>
  </si>
  <si>
    <t>Дайвинг - комбиниро-ванное плавание</t>
  </si>
  <si>
    <t>03:26,20</t>
  </si>
  <si>
    <t>03:52,70</t>
  </si>
  <si>
    <t>03:44,20</t>
  </si>
  <si>
    <t>04:10,20</t>
  </si>
  <si>
    <t>04:00,20</t>
  </si>
  <si>
    <t>04:27,70</t>
  </si>
  <si>
    <t>04:16,70</t>
  </si>
  <si>
    <t>04:44,20</t>
  </si>
  <si>
    <t>04:36,70</t>
  </si>
  <si>
    <t>04:58,20</t>
  </si>
  <si>
    <t>05:00,20</t>
  </si>
  <si>
    <t>05:34,20</t>
  </si>
  <si>
    <t>Дайвинг -                            подъем груза</t>
  </si>
  <si>
    <t>00:18,20</t>
  </si>
  <si>
    <t>00:23,00</t>
  </si>
  <si>
    <t>00:24,70</t>
  </si>
  <si>
    <t>00:21,00</t>
  </si>
  <si>
    <t>00:26,00</t>
  </si>
  <si>
    <t>00:23,2</t>
  </si>
  <si>
    <t>00:28,20</t>
  </si>
  <si>
    <t>00:25,70</t>
  </si>
  <si>
    <t>00:30,50</t>
  </si>
  <si>
    <t>00:29,80</t>
  </si>
  <si>
    <t>00:35,20</t>
  </si>
  <si>
    <t>00:35,5</t>
  </si>
  <si>
    <t>00:19,70</t>
  </si>
  <si>
    <t>00:22,80</t>
  </si>
  <si>
    <t>00:20,90</t>
  </si>
  <si>
    <t>00:24,10</t>
  </si>
  <si>
    <t>00:21,90</t>
  </si>
  <si>
    <t>00:25,20</t>
  </si>
  <si>
    <t>00:23,30</t>
  </si>
  <si>
    <t>00:26,80</t>
  </si>
  <si>
    <t>00:28,70</t>
  </si>
  <si>
    <t>00:27,00</t>
  </si>
  <si>
    <t>00:31,00</t>
  </si>
  <si>
    <t>Плавание в классических ластах -
100 м</t>
  </si>
  <si>
    <t>00:44,00</t>
  </si>
  <si>
    <t>00:46,00</t>
  </si>
  <si>
    <t>00:51,50</t>
  </si>
  <si>
    <t>00:48,30</t>
  </si>
  <si>
    <t>00:54,00</t>
  </si>
  <si>
    <t>00:51,70</t>
  </si>
  <si>
    <t>00:57,80</t>
  </si>
  <si>
    <t>00:56,20</t>
  </si>
  <si>
    <t>01:02,20</t>
  </si>
  <si>
    <t>01:00,70</t>
  </si>
  <si>
    <t>01:08,20</t>
  </si>
  <si>
    <t>Плавание в классических ластах -
200 м</t>
  </si>
  <si>
    <t>01:38,40</t>
  </si>
  <si>
    <t>01:48,70</t>
  </si>
  <si>
    <t>01:43,10</t>
  </si>
  <si>
    <t>01:54,70</t>
  </si>
  <si>
    <t>01:48,20</t>
  </si>
  <si>
    <t>01:59,80</t>
  </si>
  <si>
    <t>01:56,00</t>
  </si>
  <si>
    <t>02:08,60</t>
  </si>
  <si>
    <t>02:05,20</t>
  </si>
  <si>
    <t>02:17,70</t>
  </si>
  <si>
    <t>02:29,70</t>
  </si>
  <si>
    <t>00:15,90</t>
  </si>
  <si>
    <t>00:18,10</t>
  </si>
  <si>
    <t>00:16,90</t>
  </si>
  <si>
    <t>00:19,0</t>
  </si>
  <si>
    <t>00:17,80</t>
  </si>
  <si>
    <t>00:19,90</t>
  </si>
  <si>
    <t>00:18,70</t>
  </si>
  <si>
    <t>00:20,30</t>
  </si>
  <si>
    <t>00:22,10</t>
  </si>
  <si>
    <t>00:25,00</t>
  </si>
  <si>
    <t>00:59,8</t>
  </si>
  <si>
    <t>01:05,4</t>
  </si>
  <si>
    <t>00:36,00</t>
  </si>
  <si>
    <t>00:40,00</t>
  </si>
  <si>
    <t>00:37,80</t>
  </si>
  <si>
    <t>00:42,00</t>
  </si>
  <si>
    <t>00:39,60</t>
  </si>
  <si>
    <t>00:42,50</t>
  </si>
  <si>
    <t>00:47,20</t>
  </si>
  <si>
    <t>00:46,10</t>
  </si>
  <si>
    <t>00:51,20</t>
  </si>
  <si>
    <t>00:50,00</t>
  </si>
  <si>
    <t>00:55,40</t>
  </si>
  <si>
    <t>02:20,0</t>
  </si>
  <si>
    <t>02:31,2</t>
  </si>
  <si>
    <t>02:42,2</t>
  </si>
  <si>
    <t>01:23,20</t>
  </si>
  <si>
    <t>01:30,80</t>
  </si>
  <si>
    <t>01:27,40</t>
  </si>
  <si>
    <t>01:36,20</t>
  </si>
  <si>
    <t>01:31,70</t>
  </si>
  <si>
    <t>01:41,20</t>
  </si>
  <si>
    <t>01:38,20</t>
  </si>
  <si>
    <t>01:47,70</t>
  </si>
  <si>
    <t>01:47,20</t>
  </si>
  <si>
    <t>01:57,70</t>
  </si>
  <si>
    <t>01:55,70</t>
  </si>
  <si>
    <t>02:06,40</t>
  </si>
  <si>
    <t>05:00,0</t>
  </si>
  <si>
    <t>05:30,0</t>
  </si>
  <si>
    <t>05:55,0</t>
  </si>
  <si>
    <t>03:04,20</t>
  </si>
  <si>
    <t>03:18,20</t>
  </si>
  <si>
    <t>03:14,00</t>
  </si>
  <si>
    <t>03:28,60</t>
  </si>
  <si>
    <t>03:22,20</t>
  </si>
  <si>
    <t>03:38,80</t>
  </si>
  <si>
    <t>03:37,00</t>
  </si>
  <si>
    <t>03:55,40</t>
  </si>
  <si>
    <t>03:55,00</t>
  </si>
  <si>
    <t>04:13,60</t>
  </si>
  <si>
    <t>04:13,00</t>
  </si>
  <si>
    <t>04:33,20</t>
  </si>
  <si>
    <t>06:34,70</t>
  </si>
  <si>
    <t>07:05,20</t>
  </si>
  <si>
    <t>06:52,20</t>
  </si>
  <si>
    <t>07:25,70</t>
  </si>
  <si>
    <t>07:14,70</t>
  </si>
  <si>
    <t>07:48,20</t>
  </si>
  <si>
    <t>07:36,20</t>
  </si>
  <si>
    <t>08:20,70</t>
  </si>
  <si>
    <t>08:25,20</t>
  </si>
  <si>
    <t>09:02,70</t>
  </si>
  <si>
    <t>09:05,40</t>
  </si>
  <si>
    <t>09:44,70</t>
  </si>
  <si>
    <t>Плавание в ластах -                                          1500 м</t>
  </si>
  <si>
    <t>12:41,20</t>
  </si>
  <si>
    <t>13:39,20</t>
  </si>
  <si>
    <t>13:20,70</t>
  </si>
  <si>
    <t>14:18,20</t>
  </si>
  <si>
    <t>13:58,20</t>
  </si>
  <si>
    <t>14:58,70</t>
  </si>
  <si>
    <t>14:52,70</t>
  </si>
  <si>
    <t>16:00,20</t>
  </si>
  <si>
    <t>16:15,20</t>
  </si>
  <si>
    <t>17:24,70</t>
  </si>
  <si>
    <t>17:33,20</t>
  </si>
  <si>
    <t>18:50,20</t>
  </si>
  <si>
    <t>Плавание в ластах - эстафета              4х100 м (только для спортсмена, стартующего первым)</t>
  </si>
  <si>
    <t>Плавание в ластах - эстафета               4х200 м (только для спортсмена, стартующего первым)</t>
  </si>
  <si>
    <t>00:33,10</t>
  </si>
  <si>
    <t>00:36,30</t>
  </si>
  <si>
    <t>00:34,70</t>
  </si>
  <si>
    <t>00:38,10</t>
  </si>
  <si>
    <t>00:36,40</t>
  </si>
  <si>
    <t>00:39,90</t>
  </si>
  <si>
    <t>00:42,80</t>
  </si>
  <si>
    <t>00:42,30</t>
  </si>
  <si>
    <t>00:46,40</t>
  </si>
  <si>
    <t>00:50,40</t>
  </si>
  <si>
    <t xml:space="preserve">Подводное плавание -
400 м </t>
  </si>
  <si>
    <t>02:50,20</t>
  </si>
  <si>
    <t>03:04,60</t>
  </si>
  <si>
    <t>02:59,20</t>
  </si>
  <si>
    <t>03:14,40</t>
  </si>
  <si>
    <t>03:07,90</t>
  </si>
  <si>
    <t>03:23,20</t>
  </si>
  <si>
    <t>03:21,20</t>
  </si>
  <si>
    <t>03:38,20</t>
  </si>
  <si>
    <t>03:56,20</t>
  </si>
  <si>
    <t>03:56,70</t>
  </si>
  <si>
    <t>04:15,20</t>
  </si>
  <si>
    <t>05:40,20</t>
  </si>
  <si>
    <t>06:08,20</t>
  </si>
  <si>
    <t>06:21,20</t>
  </si>
  <si>
    <t>06:55,20</t>
  </si>
  <si>
    <t>06:54,20</t>
  </si>
  <si>
    <t>07:35,20</t>
  </si>
  <si>
    <t>07:59,20</t>
  </si>
  <si>
    <t>08:50,20</t>
  </si>
  <si>
    <t>09:30,20</t>
  </si>
  <si>
    <t>10:26,20</t>
  </si>
  <si>
    <t>06:18,20</t>
  </si>
  <si>
    <t>07:06,20</t>
  </si>
  <si>
    <t>07:00,20</t>
  </si>
  <si>
    <t>07:42,20</t>
  </si>
  <si>
    <t>08:52,20</t>
  </si>
  <si>
    <t>09:45,20</t>
  </si>
  <si>
    <t>10:20,20</t>
  </si>
  <si>
    <t>11:28,20</t>
  </si>
  <si>
    <t>06:56,20</t>
  </si>
  <si>
    <t>06:50,20</t>
  </si>
  <si>
    <t>07:30,20</t>
  </si>
  <si>
    <t>07:32,20</t>
  </si>
  <si>
    <t>08:18,20</t>
  </si>
  <si>
    <t>08:43,20</t>
  </si>
  <si>
    <t>09:37,20</t>
  </si>
  <si>
    <t>10:09,20</t>
  </si>
  <si>
    <t>11:18,20</t>
  </si>
  <si>
    <t>2.3.   КМС присваивается за выполнение нормы на спортивных соревнованиях не ниже статуса официальных спортивных соревнований субъекта Российской Федерации.</t>
  </si>
  <si>
    <t>2.4.   I спортивный разряд присваивается за выполнение нормы на спортивных соревнованиях, имеющих статус не ниже статуса официальных спортивных соревнований субъекта Российской Федерации.</t>
  </si>
  <si>
    <t>I - первый спортивный разряд;</t>
  </si>
  <si>
    <t xml:space="preserve">II - второй спортивный разряд;  </t>
  </si>
  <si>
    <t>III - третий спортивный разряд;</t>
  </si>
  <si>
    <t>ЕКП - Единый календарный план межрегиональных, всероссийских и международных физкультурных мероприятий и спортивных мероприятий;</t>
  </si>
  <si>
    <t>М - мужской пол;</t>
  </si>
  <si>
    <t>Ж - женский пол;</t>
  </si>
  <si>
    <t>мин - минута.</t>
  </si>
  <si>
    <t>Автохронометраж</t>
  </si>
  <si>
    <t>Ручной хронометраж</t>
  </si>
  <si>
    <t>Спортивный разряд, звание</t>
  </si>
  <si>
    <t>Возраст-ная группа</t>
  </si>
  <si>
    <t>К соревнованиям допущено</t>
  </si>
  <si>
    <t>спортсменов Врач</t>
  </si>
  <si>
    <t>"КСШ" г. Ачинск</t>
  </si>
  <si>
    <t>"Витязь"</t>
  </si>
  <si>
    <t xml:space="preserve">"Спутник"-"Авангард" </t>
  </si>
  <si>
    <t>ПК "Сибирь"</t>
  </si>
  <si>
    <t>СШОР-ДВС СибГУ</t>
  </si>
  <si>
    <t>Лосев Матвей</t>
  </si>
  <si>
    <t>Лазовский Семен</t>
  </si>
  <si>
    <t>Селезнева Анна</t>
  </si>
  <si>
    <t>Магомедалиева Эльмира</t>
  </si>
  <si>
    <t>Трофимчик Никита</t>
  </si>
  <si>
    <t xml:space="preserve">Панкратьев Вячеслав </t>
  </si>
  <si>
    <t>Мураев Александр</t>
  </si>
  <si>
    <t>Жаров Лев</t>
  </si>
  <si>
    <t xml:space="preserve">Шугалей Полина </t>
  </si>
  <si>
    <t>Торощина Юля</t>
  </si>
  <si>
    <t>Зырянова Алена</t>
  </si>
  <si>
    <t xml:space="preserve">Бушкова Мария </t>
  </si>
  <si>
    <t>Артемьева Анастасия</t>
  </si>
  <si>
    <t xml:space="preserve">Цыпенко Мария </t>
  </si>
  <si>
    <t>Солуянова Марина</t>
  </si>
  <si>
    <t>Сердобинцева Ангелина</t>
  </si>
  <si>
    <t>Бабурина Света</t>
  </si>
  <si>
    <t>Сухарев Максим</t>
  </si>
  <si>
    <t>Савосин Родион</t>
  </si>
  <si>
    <t>Королёв Арсений</t>
  </si>
  <si>
    <t>Иванов Олег</t>
  </si>
  <si>
    <t>Стародубцева Арина</t>
  </si>
  <si>
    <t>Максакова Ксения</t>
  </si>
  <si>
    <t>Карпова Екатерина</t>
  </si>
  <si>
    <t>Веккессер Полина</t>
  </si>
  <si>
    <t>Черкасов Александр</t>
  </si>
  <si>
    <t>Федоров Никита</t>
  </si>
  <si>
    <t>Кривошеев Артем</t>
  </si>
  <si>
    <t>Карпов Владислав</t>
  </si>
  <si>
    <t>Замяткин Никита</t>
  </si>
  <si>
    <t>Смирнова Арина</t>
  </si>
  <si>
    <t>Маркова Арина</t>
  </si>
  <si>
    <t>Малько Ксения</t>
  </si>
  <si>
    <t>Корявина Анастасия</t>
  </si>
  <si>
    <t>Врач</t>
  </si>
  <si>
    <t>соответствует рангу соревнований</t>
  </si>
  <si>
    <t>2005-2006 гг рождения</t>
  </si>
  <si>
    <t>Плавание в ластах - 100 м (1460091811Я),  девушки, 2005-2006 гг. рождения</t>
  </si>
  <si>
    <t>Плавание в ластах - 50 м (1460081811Я),  юноши 2005-2006 гг. рождения</t>
  </si>
  <si>
    <t>Плавание в ластах - 100 м (1460091811Я),  юноши 2005-2006 гг. рождения</t>
  </si>
  <si>
    <t>Плавание в классических ластах- 50 м (1460241811Я),  девушки 2005-2006 гг. рождения</t>
  </si>
  <si>
    <t>Плавание в классических ластах- 100 м (1460251811Я),  девушки 2005-2006 гг. рождения</t>
  </si>
  <si>
    <t>Плавание в классических ластах- 50 м (1460241811Я),  юноши 2005-2006 гг. рождения</t>
  </si>
  <si>
    <t>Плавание в классических ластах- 100 м (1460251811Я),  юноши 2005-2006 гг. рождения</t>
  </si>
  <si>
    <t>Плавание в ластах - 200 м (1460101811Я),  девушки 2005-2006 гг. рождения</t>
  </si>
  <si>
    <t>Плавание в ластах - 800 м (1460121811Я),  девушки 2005-2006 гг. рождения</t>
  </si>
  <si>
    <t>Плавание в ластах - 200 м (1460101811Я),  юноши 2005-2006 гг. рождения</t>
  </si>
  <si>
    <t>Плавание в ластах - 800 м (1460121811Я),  юноши 2005-2006 гг. рождения</t>
  </si>
  <si>
    <t>Плавание в классических ластах- 200 м (1460261811Я),  девушки 2005-2006 гг. рождения</t>
  </si>
  <si>
    <t>Плавание в ластах - 50 м (1460081811Я),  девушки 2005-2006 гг. рождения</t>
  </si>
  <si>
    <t>Плавание в классических ластах- 200 м (1460261811Я),  юноши 2005-2006 гг. рождения</t>
  </si>
  <si>
    <t>Подводное плавание - 100 м (1460141811Я),  девушки 2005-2006 гг. рождения</t>
  </si>
  <si>
    <t>Плавание в ластах - 400 м (1460111811Я),  девушки 2005-2006 гг. рождения</t>
  </si>
  <si>
    <t>Подводное плавание - 100 м (1460141811Я),  юноши 2005-2006 гг. рождения</t>
  </si>
  <si>
    <t>Плавание в ластах - 400 м (1460111811Я),  юноши 2005-2006 гг. рождения</t>
  </si>
  <si>
    <t>Плавание в ластах - эстафета 4х200 м (1460191811Я), девушки 2005-2006 гг. рождения</t>
  </si>
  <si>
    <t>Плавание в ластах - эстафета 4х200 м (1460191811Я), юноши 2005-2006 гг. рождения</t>
  </si>
  <si>
    <t>Плавание в ластах - эстафета 4х100 м (1460181811Я), девушки 2005-2006 гг. рождения</t>
  </si>
  <si>
    <t>Плавание в ластах - эстафета 4х100 м (1460181811Я), юноши 2005-2006 гг. рождения</t>
  </si>
  <si>
    <t>городов Красноярского края</t>
  </si>
  <si>
    <t>Заместитель директора по работе со сборными командами и проведению мероприятий КГАУ "Центр спортивно подготовки"</t>
  </si>
  <si>
    <t>В.И Мусиенко</t>
  </si>
  <si>
    <r>
      <t>Главный секретарь</t>
    </r>
    <r>
      <rPr>
        <i/>
        <sz val="12"/>
        <color theme="1"/>
        <rFont val="Times New Roman"/>
        <family val="1"/>
        <charset val="204"/>
      </rPr>
      <t xml:space="preserve"> </t>
    </r>
  </si>
  <si>
    <t xml:space="preserve">спортсменов. </t>
  </si>
  <si>
    <t>проводимых в</t>
  </si>
  <si>
    <t>4х50м смеш</t>
  </si>
  <si>
    <t>4х100м к/с</t>
  </si>
  <si>
    <t xml:space="preserve">2. Ввести возраст  от и до количества лет (не годов рождения!!!) для каждой возрастной  группы (от 1 до 4-х групп) .  Если старшая возрастная группа содержит  ограничение типа ГОД РОЖДЕНИЯ И СТАРШЕ - ячейка N3 должна быть пустой, если содержит -  ГОД РОЖДЕНИЯ И МЛАДШЕ - пустой должна быть  ячейка столбца L  младшей возрастной группы. Диапазоны не должны перекрываться или иметь пропущенные года. В ячейках E6 и G6 будет отображаться рассчитаный возраст участников. Ячейки содержат формулы - ничего не изменять. У участников, возраст которых не попадает в этот диапазон, года рождения будут высвечиваться на красном фоне. </t>
  </si>
  <si>
    <t>лет</t>
  </si>
  <si>
    <t>02-06 декабря 2018 г.</t>
  </si>
  <si>
    <r>
      <t>Апноэ - динамическое в классических ластах (</t>
    </r>
    <r>
      <rPr>
        <b/>
        <u/>
        <sz val="10"/>
        <color theme="1"/>
        <rFont val="Times New Roman"/>
        <family val="1"/>
        <charset val="204"/>
      </rPr>
      <t>1460161811Л), мужчины</t>
    </r>
  </si>
  <si>
    <r>
      <t>Апноэ - динамическое в классических ластах (</t>
    </r>
    <r>
      <rPr>
        <b/>
        <u/>
        <sz val="10"/>
        <color theme="1"/>
        <rFont val="Times New Roman"/>
        <family val="1"/>
        <charset val="204"/>
      </rPr>
      <t>1460161811Л), женщины</t>
    </r>
  </si>
  <si>
    <r>
      <t>Апноэ - 16 раз х 50м (</t>
    </r>
    <r>
      <rPr>
        <b/>
        <u/>
        <sz val="10"/>
        <color theme="1"/>
        <rFont val="Times New Roman"/>
        <family val="1"/>
        <charset val="204"/>
      </rPr>
      <t>1460371811Л), женщины</t>
    </r>
  </si>
  <si>
    <t>Чемпионат, Кубок мира</t>
  </si>
  <si>
    <t>Чемпионат, Кубок Европы</t>
  </si>
  <si>
    <r>
      <t>Апноэ - динамическое в классических ластах (</t>
    </r>
    <r>
      <rPr>
        <b/>
        <u/>
        <sz val="10"/>
        <color theme="1"/>
        <rFont val="Times New Roman"/>
        <family val="1"/>
        <charset val="204"/>
      </rPr>
      <t>1460161811Л), женщины, мужчины</t>
    </r>
  </si>
  <si>
    <r>
      <t>Апноэ - 16 раз х 50м (</t>
    </r>
    <r>
      <rPr>
        <b/>
        <u/>
        <sz val="10"/>
        <color theme="1"/>
        <rFont val="Times New Roman"/>
        <family val="1"/>
        <charset val="204"/>
      </rPr>
      <t>1460371811Л), женщины, мужчины</t>
    </r>
  </si>
  <si>
    <t>Марафонский заплыв в ластах 6 км (1460201811Я), женщины, мужчины</t>
  </si>
  <si>
    <r>
      <t>Апноэ - квадрат (</t>
    </r>
    <r>
      <rPr>
        <b/>
        <u/>
        <sz val="10"/>
        <color theme="1"/>
        <rFont val="Times New Roman"/>
        <family val="1"/>
        <charset val="204"/>
      </rPr>
      <t>1460331811Л), женщины, мужчины</t>
    </r>
  </si>
  <si>
    <r>
      <t>Акватлон (</t>
    </r>
    <r>
      <rPr>
        <b/>
        <u/>
        <sz val="10"/>
        <color theme="1"/>
        <rFont val="Times New Roman"/>
        <family val="1"/>
        <charset val="204"/>
      </rPr>
      <t>1460281811Л), женщины, мужчины</t>
    </r>
  </si>
  <si>
    <r>
      <t>Апноэ - статическое (</t>
    </r>
    <r>
      <rPr>
        <b/>
        <u/>
        <sz val="10"/>
        <color theme="1"/>
        <rFont val="Times New Roman"/>
        <family val="1"/>
        <charset val="204"/>
      </rPr>
      <t>1460341811Л), женщины, мужчины</t>
    </r>
  </si>
  <si>
    <r>
      <t>Дайвинг ночной (</t>
    </r>
    <r>
      <rPr>
        <b/>
        <u/>
        <sz val="10"/>
        <color theme="1"/>
        <rFont val="Times New Roman"/>
        <family val="1"/>
        <charset val="204"/>
      </rPr>
      <t>1460351811Л), женщины, мужчины</t>
    </r>
  </si>
  <si>
    <t>Ориентирование</t>
  </si>
  <si>
    <t>Подводная охота</t>
  </si>
  <si>
    <t>Первентво мира марафон</t>
  </si>
  <si>
    <t>Первентво Европы марафон</t>
  </si>
  <si>
    <t>Первенство фед-го округа,гг. Москва, С-Петербург</t>
  </si>
  <si>
    <t>Официальные сор-ния субъекта (14-17 лет)</t>
  </si>
  <si>
    <t>Официальные сор-ния субъекта 18 и ст.</t>
  </si>
  <si>
    <t>Первенство Муниципального образования</t>
  </si>
  <si>
    <r>
      <t xml:space="preserve">Первенство Европы </t>
    </r>
    <r>
      <rPr>
        <b/>
        <sz val="10"/>
        <color rgb="FF0070C0"/>
        <rFont val="Times New Roman"/>
        <family val="1"/>
        <charset val="204"/>
      </rPr>
      <t>марафон</t>
    </r>
  </si>
  <si>
    <r>
      <t xml:space="preserve">Первентво мира </t>
    </r>
    <r>
      <rPr>
        <b/>
        <sz val="10"/>
        <color rgb="FF0070C0"/>
        <rFont val="Times New Roman"/>
        <family val="1"/>
        <charset val="204"/>
      </rPr>
      <t>марафон</t>
    </r>
  </si>
  <si>
    <r>
      <t xml:space="preserve">Др. юниорские межд-ные </t>
    </r>
    <r>
      <rPr>
        <b/>
        <sz val="10"/>
        <color rgb="FF0070C0"/>
        <rFont val="Times New Roman"/>
        <family val="1"/>
        <charset val="204"/>
      </rPr>
      <t>марафон</t>
    </r>
  </si>
  <si>
    <r>
      <t xml:space="preserve">«дайвинг» с 13 лет; «плавание» с </t>
    </r>
    <r>
      <rPr>
        <sz val="19"/>
        <rFont val="Times New Roman"/>
        <family val="1"/>
        <charset val="204"/>
      </rPr>
      <t xml:space="preserve">9 </t>
    </r>
    <r>
      <rPr>
        <sz val="19"/>
        <rFont val="Times New Roman"/>
        <family val="1"/>
      </rPr>
      <t>лет (за исключением «подводное плавание - 100 м»); «подводное плавание -   100 м» с 12 лет</t>
    </r>
  </si>
  <si>
    <r>
      <t>Ориентиро-
вание  -</t>
    </r>
    <r>
      <rPr>
        <sz val="14"/>
        <rFont val="Times New Roman"/>
        <family val="1"/>
      </rPr>
      <t xml:space="preserve"> упражнение "зоны"</t>
    </r>
  </si>
  <si>
    <r>
      <t xml:space="preserve">Ориентиро-
вание  - </t>
    </r>
    <r>
      <rPr>
        <sz val="14"/>
        <rFont val="Times New Roman"/>
        <family val="1"/>
      </rPr>
      <t>упражнение "ориентиры"</t>
    </r>
  </si>
  <si>
    <r>
      <t xml:space="preserve">Ориентиро-
вание  </t>
    </r>
    <r>
      <rPr>
        <sz val="14"/>
        <rFont val="Times New Roman"/>
        <family val="1"/>
      </rPr>
      <t>- упражнение "звезда"</t>
    </r>
  </si>
  <si>
    <t>Марафонский заплыв</t>
  </si>
  <si>
    <t>УТВЕРЖДАЮ</t>
  </si>
  <si>
    <t>Заместитель директора</t>
  </si>
  <si>
    <t>по работе со сборными командами</t>
  </si>
  <si>
    <t>и проведению мероприятий</t>
  </si>
  <si>
    <t>КГАУ "ЦСП"</t>
  </si>
  <si>
    <t>__________________ В.И. Мусиенко</t>
  </si>
  <si>
    <t>Отчет главного судьи</t>
  </si>
  <si>
    <t>(наименование согласно положению/регламенту о соревновании)</t>
  </si>
  <si>
    <t>(город/район края, поселок/село, наименование спортивного сооружения)</t>
  </si>
  <si>
    <t>(число, месяц, количество соревновательных/игровых дней)</t>
  </si>
  <si>
    <t>I.</t>
  </si>
  <si>
    <t>УЧАСТНИКИ:</t>
  </si>
  <si>
    <t>региона (гг. Красноярск, Ачинск, Зеленогорск)</t>
  </si>
  <si>
    <t xml:space="preserve">команд, </t>
  </si>
  <si>
    <t>участник(ов)</t>
  </si>
  <si>
    <t>-</t>
  </si>
  <si>
    <t>Участники</t>
  </si>
  <si>
    <t>в том числе имеющие спортивние звания и разряды</t>
  </si>
  <si>
    <t>Массовые разряды</t>
  </si>
  <si>
    <t>ИТОГО:</t>
  </si>
  <si>
    <t>Количество зрителей, посетивших спортивное соревнование:</t>
  </si>
  <si>
    <t>II.</t>
  </si>
  <si>
    <t>СПОРТИВНАЯ БАЗА:</t>
  </si>
  <si>
    <t>Место проведения соревнований соответствовали правилам ТБ и СанПиНам. Акт готовности спортивного объекта имеется.</t>
  </si>
  <si>
    <t>III.</t>
  </si>
  <si>
    <t>РЕЗУЛЬТАТЫ СОРЕВНОВАНИЙ:</t>
  </si>
  <si>
    <t>Командные</t>
  </si>
  <si>
    <t>Личные</t>
  </si>
  <si>
    <t>Протоколы прилагаются</t>
  </si>
  <si>
    <t>IV.</t>
  </si>
  <si>
    <t>ЗАКЛЮЧЕНИЕ ВРАЧА:</t>
  </si>
  <si>
    <t>За время проведения соревнований травм и жалоб на здоровье участников не было</t>
  </si>
  <si>
    <t>(указать ФИО спортсменов, получивших травму, характер травмы)</t>
  </si>
  <si>
    <t>V.</t>
  </si>
  <si>
    <t>СПИСОК СУДЕЙСКОЙ КОЛЛЕГИИ</t>
  </si>
  <si>
    <t>Ф.И.О. 
(полностью)</t>
  </si>
  <si>
    <t>Судейская категория</t>
  </si>
  <si>
    <t>Судейская должность</t>
  </si>
  <si>
    <t>Оценка</t>
  </si>
  <si>
    <t>отлично</t>
  </si>
  <si>
    <t>Ответственный за проведение</t>
  </si>
  <si>
    <t>Букина Галина</t>
  </si>
  <si>
    <t>Плавание в классических ластах- 400 м (1460411811Я),  женщины</t>
  </si>
  <si>
    <t>Плавание в классических ластах- 400 м (1460411811Я),  мужчины</t>
  </si>
  <si>
    <t>4х100м к/л смеш</t>
  </si>
  <si>
    <t>сор 1</t>
  </si>
  <si>
    <t>сор 2</t>
  </si>
  <si>
    <t>сор 3</t>
  </si>
  <si>
    <t>сор 4</t>
  </si>
  <si>
    <t>Сведения о соревнованиях 1:</t>
  </si>
  <si>
    <t>Сведения о соревнованиях 2:</t>
  </si>
  <si>
    <t>Сведения о соревнованиях 3:</t>
  </si>
  <si>
    <t>Сведения о соревнованиях 4:</t>
  </si>
  <si>
    <t>л</t>
  </si>
  <si>
    <t>Сор 1</t>
  </si>
  <si>
    <t>Сор 2</t>
  </si>
  <si>
    <t>Сор 3</t>
  </si>
  <si>
    <t>Сор 4</t>
  </si>
  <si>
    <t>«апноэ» с 18 лет; «дайвинг», «ныряние» с 14 лет; «плавание» с 9 лет (за исключением  «плавание в ластах - 1500 м», «подводное плавание»); «плавание в ластах - 1500 м», «подводное плавание» с  12 лет;  «ориентирование» с 15 лет;</t>
  </si>
  <si>
    <t>«апноэ» с 18 лет; «дайвинг» с 13 лет; «ныряние» с 14 лет; «плавание» с 9 лет (за исключением «плавание в ластах - 1500 м», «подводное плавание»); «плавание в ластах - 1500 м», «подводное плавание» - с 12 лет;  «ориентирование» с 15 лет;</t>
  </si>
  <si>
    <t>мин, с</t>
  </si>
  <si>
    <t>02:25,70</t>
  </si>
  <si>
    <t>02:41,20</t>
  </si>
  <si>
    <t>02:40,20</t>
  </si>
  <si>
    <t>02:55,20</t>
  </si>
  <si>
    <t>02:54,20</t>
  </si>
  <si>
    <t>03:10,20</t>
  </si>
  <si>
    <t>05:28,20</t>
  </si>
  <si>
    <t>05:55,20</t>
  </si>
  <si>
    <t>05:52,70</t>
  </si>
  <si>
    <t>06:32,20</t>
  </si>
  <si>
    <t>06:28,20</t>
  </si>
  <si>
    <t>00:33,20</t>
  </si>
  <si>
    <t>00:38,70</t>
  </si>
  <si>
    <t>00:41,20</t>
  </si>
  <si>
    <t>00:39,20</t>
  </si>
  <si>
    <t>00:30,00</t>
  </si>
  <si>
    <t>00:33,70</t>
  </si>
  <si>
    <t>00:32,60</t>
  </si>
  <si>
    <t>00:36,90</t>
  </si>
  <si>
    <t>00:35,70</t>
  </si>
  <si>
    <t>01:06,20</t>
  </si>
  <si>
    <t>01:13,70</t>
  </si>
  <si>
    <t>01:12,20</t>
  </si>
  <si>
    <t>01:19,80</t>
  </si>
  <si>
    <t>01:18,70</t>
  </si>
  <si>
    <t>01:26,20</t>
  </si>
  <si>
    <t>02:28,70</t>
  </si>
  <si>
    <t>02:44,20</t>
  </si>
  <si>
    <t>02:42,20</t>
  </si>
  <si>
    <t>02:58,70</t>
  </si>
  <si>
    <t>03:12,20</t>
  </si>
  <si>
    <t>Плавание в классических ластах -
400 м</t>
  </si>
  <si>
    <t>03:57,0</t>
  </si>
  <si>
    <t>04:15,0</t>
  </si>
  <si>
    <t>04:10,0</t>
  </si>
  <si>
    <t>04:30,0</t>
  </si>
  <si>
    <t>04:28,0</t>
  </si>
  <si>
    <t>04:48,0</t>
  </si>
  <si>
    <t>5:08,0</t>
  </si>
  <si>
    <t>5:12,5</t>
  </si>
  <si>
    <t>5:34,0</t>
  </si>
  <si>
    <t>5:38,5</t>
  </si>
  <si>
    <t>6:01,0</t>
  </si>
  <si>
    <t>06:07,0</t>
  </si>
  <si>
    <t>06:30,0</t>
  </si>
  <si>
    <t>03:38,40</t>
  </si>
  <si>
    <t>03:55,30</t>
  </si>
  <si>
    <t>03:47,80</t>
  </si>
  <si>
    <t>04:05,50</t>
  </si>
  <si>
    <t>03:57,20</t>
  </si>
  <si>
    <t>04:30,20</t>
  </si>
  <si>
    <t>04:28,20</t>
  </si>
  <si>
    <t>04:48,20</t>
  </si>
  <si>
    <t>5:08,20</t>
  </si>
  <si>
    <t>5:12,70</t>
  </si>
  <si>
    <t>5:34,20</t>
  </si>
  <si>
    <t>5:38,70</t>
  </si>
  <si>
    <t>6:01,20</t>
  </si>
  <si>
    <t>06:07,20</t>
  </si>
  <si>
    <t>06:30,20</t>
  </si>
  <si>
    <t>Плавание в классических ластах - эстафета               4х100 м - смешанная (только для спортсмена, стартующего первым)</t>
  </si>
  <si>
    <t>00:24,20</t>
  </si>
  <si>
    <t>00:27,60</t>
  </si>
  <si>
    <t>00:26,40</t>
  </si>
  <si>
    <t>00:30,20</t>
  </si>
  <si>
    <t>00:28,60</t>
  </si>
  <si>
    <t>00:54,80</t>
  </si>
  <si>
    <t>00:60,00</t>
  </si>
  <si>
    <t>00:59,80</t>
  </si>
  <si>
    <t>01:05,60</t>
  </si>
  <si>
    <t>01:04,80</t>
  </si>
  <si>
    <t>01:10,60</t>
  </si>
  <si>
    <t>02:20,20</t>
  </si>
  <si>
    <t>02:19,50</t>
  </si>
  <si>
    <t>02:31,40</t>
  </si>
  <si>
    <t>02:31,20</t>
  </si>
  <si>
    <t>02:42,40</t>
  </si>
  <si>
    <t>04:41,90</t>
  </si>
  <si>
    <t>05:07,80</t>
  </si>
  <si>
    <t>05:30,20</t>
  </si>
  <si>
    <t>05:33,70</t>
  </si>
  <si>
    <t>09:55,20</t>
  </si>
  <si>
    <t>10:38,70</t>
  </si>
  <si>
    <t>10:54,20</t>
  </si>
  <si>
    <t>11:42,20</t>
  </si>
  <si>
    <t>11:50,70</t>
  </si>
  <si>
    <t>12:36,70</t>
  </si>
  <si>
    <t>Плавание в ластах - эстафета               4х50 м - смешанная (только для спортсмена, стартующего первым)</t>
  </si>
  <si>
    <t xml:space="preserve">Подводное плавание -
100 м </t>
  </si>
  <si>
    <t>00:55,20</t>
  </si>
  <si>
    <t>00:55,00</t>
  </si>
  <si>
    <t>01:00,20</t>
  </si>
  <si>
    <t>00:59,60</t>
  </si>
  <si>
    <t>01:05,40</t>
  </si>
  <si>
    <t xml:space="preserve">1. Условия выполнения норм для спортивных дисциплин, содержащих в своих наименованиях слово «апноэ»:                                                                                                                                  </t>
  </si>
  <si>
    <t xml:space="preserve">1.1. МСМК присваивается за выполнение нормы: на чемпионате мира, кубке мира (финал) и занятии при этом 1-6 места в соответствующем виде программы; чемпионате Европы, кубке Европы (финал) и занятии при этом 1-4 места в соответствующем виде программы; других международных спортивных соревнованиях, включенных в ЕКП, и занятии при этом 1 места в соответствующем виде программы.                                                                                                                    </t>
  </si>
  <si>
    <t xml:space="preserve">1.2. МС присваивается за выполнение нормы: на чемпионате России и занятии при этом 1-4 места в соответствующем виде программы; на Кубке России и занятии при этом 1-3 места в соответствующем виде программы; других всероссийских спортивных соревнованиях, включенных в ЕКП и занятии при этом 1-2 места в соответствующем виде программы.                    </t>
  </si>
  <si>
    <t xml:space="preserve">1.3. КМС присваивается за выполнение нормы: на чемпионате России и занятии при этом не ниже 5-8 места в соответствующем виде программы; на Кубке России и занятии при этом не ниже 4-6 места в соответствующем виде программы; других всероссийских спортивных соревнованиях, включенных в ЕКП и занятии при этом не ниже 3-4 места в соответствующем виде программы.     </t>
  </si>
  <si>
    <t>1.4. I спортивный разряд присваивается за выполнение нормы на спортивных соревнованиях, имеющих статус не ниже статуса официальных спортивных соревнований субъекта Российской Федерации.</t>
  </si>
  <si>
    <t>1.5. II, III спортивные разряды присваиваются за выполнение нормы на спортивных соревнованиях любого статуса.</t>
  </si>
  <si>
    <t>2. Условия выполнения норм для спортивных дисциплин, содержащих в своих наименованиях слова «дайвинг», «ныряние», «плавание»:</t>
  </si>
  <si>
    <t xml:space="preserve">2.1. МСМК присваивается за выполнение нормы на международных спортивных соревнованиях, включенных в ЕКП.   </t>
  </si>
  <si>
    <t>2.2. МС присваивается за выполнение нормы на спортивных соревнованиях, имеющих статус не ниже всероссийских спортивных соревнований, включенных в ЕКП.</t>
  </si>
  <si>
    <t>2.5. II, III спортивные разряды и юношеские спортивные разряды присваиваются за выполнение нормы на спортивных соревнованиях любого статуса.</t>
  </si>
  <si>
    <t xml:space="preserve">3. Условия выполнения норм для спортивных дисциплин, содержащих в своих наименованиях слово «ориентирование»:                                                                                                                                  </t>
  </si>
  <si>
    <t xml:space="preserve">3.1. МС присваивается за выполнение нормы: на международных спортивных соревнованиях, включенных в ЕКП; на чемпионате России и занятии при этом 1-4 места в соответствующем виде программы; на Кубке России и занятии при этом 1-3 места в соответствующем виде программы; на первенстве России и занятии при этом 1-2 места в соответствующем виде программы; других всероссийских спортивных соревнованиях, включенных в ЕКП, и занятии при этом 1-2 места в соответствующем виде программы.                    </t>
  </si>
  <si>
    <t xml:space="preserve">3.2. КМС присваивается за выполнение нормы: на международных спортивных соревнованиях, включенных в ЕКП; на чемпионате России и занятии при этом не ниже 5-8 места в соответствующем виде программы; на Кубке России и занятии при этом не ниже 4-6 места в соответствующем виде программы; на первенстве России и занятии при этом не ниже 3-4 места в соответствующем виде программы; других всероссийских спортивных соревнованиях, включенных в ЕКП, и занятии при этом не ниже 3-4 места в соответствующем виде программы.     </t>
  </si>
  <si>
    <t>3.3. I спортивный разряд присваивается за выполнение нормы на спортивных соревнованиях, имеющих статус не ниже статуса официальных спортивных соревнований субъекта Российской Федерации.</t>
  </si>
  <si>
    <t>3.4. II, III спортивные разряды присваиваются за выполнение нормы на спортивных соревнованиях любого статуса.</t>
  </si>
  <si>
    <t>4. Первенства России, всероссийские спортивные соревнования, включенные в ЕКП, среди лиц с ограничением верхней границы возраста, первенства федерального округа, двух и более федеральных округов, первенства г. Москвы, г. Санкт-Петербурга, проводятся: по спортивным дисциплинам, содержащим в своих наименованиях слова «дайвинг», «ныряние» в возрастной группе: юниоры-юниорки (14-17 лет);  по                                    спортивным дисциплинам, содержащим в своих наименованиях слово «плавание» в возрастных группах: юниоры, юниорки (14-17 лет), юноши, девушки (12-13 лет); по спортивным дисциплинам, содержащим в своих наименованиях слово «ориентирование» в возрастной группе: юниоры, юниорки (15-21 год).</t>
  </si>
  <si>
    <t>5. Первенства субъекта Российской Федерации, другие официальные спортивные соревнования субъекта Российской Федерации среди лиц с ограничением верхней границы возраста, первенства муниципального образования, другие официальные спортивные соревнования                               муниципального образования среди лиц с ограничением верхней границы возраста проводятся: по спортивным дисциплинам, содержащим в своих наименованиях слова «дайвинг», «ныряние» в возрастной группе: юниоры-юниорки (14-17 лет); по спортивным дисциплинам, содержащим                                 в своих наименованиях слово «плавание» (за исключением «плавание в ластах - 1500 м», «подводное плавание -100 м», «подводное плавание - 400 м») в возрастных группах: юниоры, юниорки (14-17 лет), юноши, девушки (12-13 лет), мальчики, девочки (9-11 лет); по спортивным дисциплинам «плавание в ластах - 1500 м», «подводное плавание - 100 м», «подводное плавание -400 м» в возрастной группе: юниоры, юниорки (14-17 лет), юноши, девушки (12-13 лет); по спортивным дисциплинам, содержащим в своих наименованиях слово «ориентирование» в возрастной группе: юниоры, юниорки (15-21 год).</t>
  </si>
  <si>
    <t>6. Первенство мира среди студентов, первенство Европы среди студентов, другие международные спортивные соревнования среди студентов, всероссийские спортивные соревнования среди студентов, включенные в ЕКП, проводятся в возрастной группе юниоры, юниорки (17-25 лет).</t>
  </si>
  <si>
    <t>7. Для участия в спортивных соревнованиях спортсмен должен достичь установленного возраста в календарный год проведения спортивных соревнований (за исключением спортивных дисциплин в наименованиях которых содержится слово «апноэ»).</t>
  </si>
  <si>
    <t>8. В спортивных дисциплинах в наименованиях которых содержится слово «апноэ» спортсмен должен достичь установленного возраста до дня начала спортивного соревнования.</t>
  </si>
  <si>
    <t>Подводное плавание - 200 м (),  женщины</t>
  </si>
  <si>
    <t>Подводное плавание - 200 м (),  мужчины</t>
  </si>
  <si>
    <t>Апноэ - динамическое           в ластах</t>
  </si>
  <si>
    <t>Апноэ -                    скоростное 
100 м</t>
  </si>
  <si>
    <t>00:32,80</t>
  </si>
  <si>
    <t>00:37,20</t>
  </si>
  <si>
    <t>00:35,00</t>
  </si>
  <si>
    <t>00:39,50</t>
  </si>
  <si>
    <t>01:16,40</t>
  </si>
  <si>
    <t>01:28,80</t>
  </si>
  <si>
    <t>01:30,50</t>
  </si>
  <si>
    <t>01:43,00</t>
  </si>
  <si>
    <t>03:16,00</t>
  </si>
  <si>
    <t>03:37,70</t>
  </si>
  <si>
    <t>03:34,60</t>
  </si>
  <si>
    <t>03:58,00</t>
  </si>
  <si>
    <t>03:51,50</t>
  </si>
  <si>
    <t>04:20,20</t>
  </si>
  <si>
    <t>Плавание            в классических ластах - 50 м</t>
  </si>
  <si>
    <t>00:19,40</t>
  </si>
  <si>
    <t>00:22,30</t>
  </si>
  <si>
    <t>00:20,50</t>
  </si>
  <si>
    <t>00:23,70</t>
  </si>
  <si>
    <t>00:21,50</t>
  </si>
  <si>
    <t>00:24,80</t>
  </si>
  <si>
    <t>00:23,20</t>
  </si>
  <si>
    <t>00:26,60</t>
  </si>
  <si>
    <t>00:26,70</t>
  </si>
  <si>
    <t>00:30,70</t>
  </si>
  <si>
    <t>Плавание            в классических ластах -
100 м</t>
  </si>
  <si>
    <t>00:43,30</t>
  </si>
  <si>
    <t>00:48,10</t>
  </si>
  <si>
    <t>00:45,10</t>
  </si>
  <si>
    <t>00:51,00</t>
  </si>
  <si>
    <t>00:47,50</t>
  </si>
  <si>
    <t>00:53,50</t>
  </si>
  <si>
    <t>00:57,50</t>
  </si>
  <si>
    <t>00:56,10</t>
  </si>
  <si>
    <t>01:02,10</t>
  </si>
  <si>
    <t>01:00,60</t>
  </si>
  <si>
    <t>01:08,00</t>
  </si>
  <si>
    <t>Плавание           в классических ластах -
200 м</t>
  </si>
  <si>
    <t>01:36,50</t>
  </si>
  <si>
    <t>01:47,50</t>
  </si>
  <si>
    <t>01:41,40</t>
  </si>
  <si>
    <t>01:52,60</t>
  </si>
  <si>
    <t>01:46,00</t>
  </si>
  <si>
    <t>01:57,80</t>
  </si>
  <si>
    <t>01:54,80</t>
  </si>
  <si>
    <t>02:07,50</t>
  </si>
  <si>
    <t>02:04,00</t>
  </si>
  <si>
    <t>02:16,50</t>
  </si>
  <si>
    <t>02:14,80</t>
  </si>
  <si>
    <t>02:28,20</t>
  </si>
  <si>
    <t>Плавание            в классических ластах -
400 м</t>
  </si>
  <si>
    <t>03:55,0</t>
  </si>
  <si>
    <t>04:14,0</t>
  </si>
  <si>
    <t>03:32,50</t>
  </si>
  <si>
    <t>03:49,00</t>
  </si>
  <si>
    <t>03:45,20</t>
  </si>
  <si>
    <t>04:04,40</t>
  </si>
  <si>
    <t>03:55,20</t>
  </si>
  <si>
    <t>04:14,20</t>
  </si>
  <si>
    <t>Апноэ - 16 раз х 50 м</t>
  </si>
  <si>
    <t>09:38,00</t>
  </si>
  <si>
    <t>12:11,00</t>
  </si>
  <si>
    <t>10:09,00</t>
  </si>
  <si>
    <t>13:56,00</t>
  </si>
  <si>
    <t>11:30,00</t>
  </si>
  <si>
    <t>16:00,00</t>
  </si>
  <si>
    <t>15:00,00</t>
  </si>
  <si>
    <t>17:40,00</t>
  </si>
  <si>
    <t>16:15,00</t>
  </si>
  <si>
    <t>18:45,00</t>
  </si>
  <si>
    <t>17:20,00</t>
  </si>
  <si>
    <t>19:45,00</t>
  </si>
  <si>
    <t>Апноэ - динамическое             в  классических ластах</t>
  </si>
  <si>
    <t>Апноэ - ныряние            в глубину              по тросу</t>
  </si>
  <si>
    <t>"Спутник"-"Авангард"</t>
  </si>
  <si>
    <t>Заплыв 1</t>
  </si>
  <si>
    <t>Заплыв 2</t>
  </si>
  <si>
    <t>Ермолаева Софья</t>
  </si>
  <si>
    <t>Близнюк Данил</t>
  </si>
  <si>
    <t>Асочаков Максим</t>
  </si>
  <si>
    <t>СФУ Дианема</t>
  </si>
  <si>
    <t>Заплыв 4</t>
  </si>
  <si>
    <t>Заплыв 5</t>
  </si>
  <si>
    <t>Давлячин Илья</t>
  </si>
  <si>
    <t>Осипов Владимир</t>
  </si>
  <si>
    <t>Заплыв 6</t>
  </si>
  <si>
    <t>Заплыв 7</t>
  </si>
  <si>
    <t>СШОР - ДВС СибГУ</t>
  </si>
  <si>
    <t>Сулейманова Алина</t>
  </si>
  <si>
    <t>Потапова Анна</t>
  </si>
  <si>
    <t>СШОР Спутник СибГУ</t>
  </si>
  <si>
    <t>Биргейм Ангелина</t>
  </si>
  <si>
    <t>Кирейцева Виктория</t>
  </si>
  <si>
    <t>Антипова Мария</t>
  </si>
  <si>
    <t>Коваленко Анастасия</t>
  </si>
  <si>
    <t>Зборщик Мария</t>
  </si>
  <si>
    <t>Сергиенко Валерия</t>
  </si>
  <si>
    <t>Заплыв 8</t>
  </si>
  <si>
    <t>Заплыв 9</t>
  </si>
  <si>
    <t>Заплыв 10</t>
  </si>
  <si>
    <t>Заплыв 11</t>
  </si>
  <si>
    <t>Заплыв 12</t>
  </si>
  <si>
    <t>Катран</t>
  </si>
  <si>
    <t>Елисеев Максим</t>
  </si>
  <si>
    <t>Вьюнов Данил</t>
  </si>
  <si>
    <t>Никифоров Игорь</t>
  </si>
  <si>
    <t>Мирончик Леонид</t>
  </si>
  <si>
    <t>Запольский Захар</t>
  </si>
  <si>
    <t>Калинин Андрей</t>
  </si>
  <si>
    <t>Логачев Денис</t>
  </si>
  <si>
    <t>Курако Дмитрий</t>
  </si>
  <si>
    <t>Скуратов Сергей</t>
  </si>
  <si>
    <t>Якоби Степан</t>
  </si>
  <si>
    <t>Тонких Николай</t>
  </si>
  <si>
    <t>Жарников Григорий</t>
  </si>
  <si>
    <t>Аплеталин Данил</t>
  </si>
  <si>
    <t>Климович Матвей</t>
  </si>
  <si>
    <t>Борисов Денис</t>
  </si>
  <si>
    <t>Коновалов Дмитрий</t>
  </si>
  <si>
    <t>Моцный Антон</t>
  </si>
  <si>
    <t>Солодкий Иван</t>
  </si>
  <si>
    <t>Фаткулин Алексей</t>
  </si>
  <si>
    <t>Заплыв 13</t>
  </si>
  <si>
    <t>Заплыв 14</t>
  </si>
  <si>
    <t>Заплыв 15</t>
  </si>
  <si>
    <t>Заплыв 16</t>
  </si>
  <si>
    <t>Заплыв 17</t>
  </si>
  <si>
    <t>Заплыв 18</t>
  </si>
  <si>
    <t>Заплыв 19</t>
  </si>
  <si>
    <t>Заплыв 20</t>
  </si>
  <si>
    <t>Заплыв 21</t>
  </si>
  <si>
    <t>Заплыв 22</t>
  </si>
  <si>
    <t>Заплыв 23</t>
  </si>
  <si>
    <t>Ковалева Мария</t>
  </si>
  <si>
    <t>Егоркина Светлана</t>
  </si>
  <si>
    <t>Самойлов Никита</t>
  </si>
  <si>
    <t>Сенюткин Степан</t>
  </si>
  <si>
    <t>Бекетов Михаил</t>
  </si>
  <si>
    <t>Данилкин Сергей</t>
  </si>
  <si>
    <t>Шилова Кристина</t>
  </si>
  <si>
    <t>Миртов Дмитрий</t>
  </si>
  <si>
    <t>Малахов Григорий</t>
  </si>
  <si>
    <t>Гутник Виктория</t>
  </si>
  <si>
    <t>Новожилова Марина</t>
  </si>
  <si>
    <t>Никитина Дарья</t>
  </si>
  <si>
    <t>Дубовой Алексей</t>
  </si>
  <si>
    <t>Зимогоров Сергей</t>
  </si>
  <si>
    <t>Купцов Михаил</t>
  </si>
  <si>
    <t>Журавлев Артем</t>
  </si>
  <si>
    <t>Фёдоров Никита</t>
  </si>
  <si>
    <t>Кадулич Дмитрий</t>
  </si>
  <si>
    <t xml:space="preserve">Плавание в классических ластах- 100 м (1460251811Я),  мужчины </t>
  </si>
  <si>
    <t>Егорова Анна</t>
  </si>
  <si>
    <t>Огородова Юлия</t>
  </si>
  <si>
    <t>П/к "Сибирь"</t>
  </si>
  <si>
    <t>Мезин Артем</t>
  </si>
  <si>
    <t>Беген Дарья</t>
  </si>
  <si>
    <t>Всероссийские соревнования среди студентов</t>
  </si>
  <si>
    <t>08-11 декабря 2021 г.</t>
  </si>
  <si>
    <t>Плавание в ластах - 100 м (1460091811Я),  женщины (ВС, ОКС, КК)</t>
  </si>
  <si>
    <t>КГПУ</t>
  </si>
  <si>
    <t>СибГУ</t>
  </si>
  <si>
    <t>Горбатова Марина</t>
  </si>
  <si>
    <t>СФУ</t>
  </si>
  <si>
    <t xml:space="preserve">Шилова Кристина </t>
  </si>
  <si>
    <t xml:space="preserve">Косуль Людмила </t>
  </si>
  <si>
    <t xml:space="preserve">Захарова Юлия </t>
  </si>
  <si>
    <t>Беляева Карина</t>
  </si>
  <si>
    <t>ЯГПУ</t>
  </si>
  <si>
    <t>Иститут леса им. В.Н. Сукачева СО РАН г. Красноярск</t>
  </si>
  <si>
    <t>ОКС</t>
  </si>
  <si>
    <t>Авдеева Анастасия</t>
  </si>
  <si>
    <t>ВС;ОКС</t>
  </si>
  <si>
    <t>НИ ТГУ</t>
  </si>
  <si>
    <t>Боровская Арина</t>
  </si>
  <si>
    <t>МБУ КСШ Ачинск</t>
  </si>
  <si>
    <t>КС</t>
  </si>
  <si>
    <t>ВС;ОКС;КК</t>
  </si>
  <si>
    <t>СШОР - ДВС</t>
  </si>
  <si>
    <t>ОКС;КК</t>
  </si>
  <si>
    <t>КК</t>
  </si>
  <si>
    <t>Плавание в ластах - 100 м (1460091811Я),  мужчины (ВС;ОКС;КК)</t>
  </si>
  <si>
    <t>РАНХиГС</t>
  </si>
  <si>
    <t>Качмашев Егор</t>
  </si>
  <si>
    <t>ТГАСУ</t>
  </si>
  <si>
    <t>Лапин Семен</t>
  </si>
  <si>
    <t>Прибыш Николай</t>
  </si>
  <si>
    <t>мс</t>
  </si>
  <si>
    <t xml:space="preserve">Козлов Степан </t>
  </si>
  <si>
    <t xml:space="preserve">Берестов Алексей </t>
  </si>
  <si>
    <t xml:space="preserve">Мартынов Кирилл </t>
  </si>
  <si>
    <t xml:space="preserve">Баскаков Иван </t>
  </si>
  <si>
    <t>Воробьев Степан</t>
  </si>
  <si>
    <t>УрФУ</t>
  </si>
  <si>
    <t>ДСТ п. Березовка</t>
  </si>
  <si>
    <t>ВС;ОКС;</t>
  </si>
  <si>
    <t>Худорба Егор</t>
  </si>
  <si>
    <t>Петров Игорь</t>
  </si>
  <si>
    <t>Кунчевский Ярослав</t>
  </si>
  <si>
    <t>Тихненко Александр</t>
  </si>
  <si>
    <t>ВС;ОКС; КК</t>
  </si>
  <si>
    <t>в/к</t>
  </si>
  <si>
    <t>Кабанин Степан</t>
  </si>
  <si>
    <t>Климович</t>
  </si>
  <si>
    <t>Королев Арсений</t>
  </si>
  <si>
    <t>Плавание в классических ластах- 100 м (1460251811Я),  женщины (ВС;ОКС;КК)</t>
  </si>
  <si>
    <t>Шаркова Полина</t>
  </si>
  <si>
    <t>«СГУС»</t>
  </si>
  <si>
    <t>Зуева Валерия</t>
  </si>
  <si>
    <t>Иванова Катарина</t>
  </si>
  <si>
    <t xml:space="preserve">Фатихова Рината </t>
  </si>
  <si>
    <t xml:space="preserve">Курносова Екатерина </t>
  </si>
  <si>
    <t xml:space="preserve">Кравченко Татьяна </t>
  </si>
  <si>
    <t xml:space="preserve">Кононова Яна </t>
  </si>
  <si>
    <t>Дехтярева Олеся</t>
  </si>
  <si>
    <t>УралГУФК</t>
  </si>
  <si>
    <t>Налимова Екатерина</t>
  </si>
  <si>
    <t>Чепелева Татьяна</t>
  </si>
  <si>
    <t>Лубсанова Маргарита</t>
  </si>
  <si>
    <t>Воднева Мария</t>
  </si>
  <si>
    <t>Зарубина Екатерина</t>
  </si>
  <si>
    <t>Хорошева Варвара</t>
  </si>
  <si>
    <t>СШОР Спутник СибГУ-1</t>
  </si>
  <si>
    <t>Воронова Ксения</t>
  </si>
  <si>
    <t>ФОЦ СФУ</t>
  </si>
  <si>
    <t>Плавание в классических ластах- 100 м (1460251811Я),  мужчины (ВС;ОКС;КК)</t>
  </si>
  <si>
    <t>Безруких Данила</t>
  </si>
  <si>
    <t>Говорский Роман</t>
  </si>
  <si>
    <t>Селюков Даниил</t>
  </si>
  <si>
    <t>Якимович Денис</t>
  </si>
  <si>
    <t>Федотов Данила</t>
  </si>
  <si>
    <t>Баев Андрей</t>
  </si>
  <si>
    <t xml:space="preserve">СибЮИ МВД </t>
  </si>
  <si>
    <t>Радченко Сергей</t>
  </si>
  <si>
    <t>Протасов Сергей</t>
  </si>
  <si>
    <t>Пименов Даниил</t>
  </si>
  <si>
    <t>Щербаков Дмитрий</t>
  </si>
  <si>
    <t>Елисеев  Максим</t>
  </si>
  <si>
    <t xml:space="preserve">Добрынин Кирилл </t>
  </si>
  <si>
    <t xml:space="preserve">Алексевнин Анатолий </t>
  </si>
  <si>
    <t>Тюклин Максим</t>
  </si>
  <si>
    <t>АК СибГУ</t>
  </si>
  <si>
    <t>ВСТТС</t>
  </si>
  <si>
    <t>Бобренев Егор</t>
  </si>
  <si>
    <t>Агарков Александр</t>
  </si>
  <si>
    <t>Черепин Иван</t>
  </si>
  <si>
    <t>Сидоров Владимир</t>
  </si>
  <si>
    <t>Шахов Никита</t>
  </si>
  <si>
    <t>Головачев Михаил</t>
  </si>
  <si>
    <t>Терехов Артем</t>
  </si>
  <si>
    <t>Красавцев Максим</t>
  </si>
  <si>
    <t>Сечкин Кирилл</t>
  </si>
  <si>
    <t>Максимов Никита</t>
  </si>
  <si>
    <t>Струков Марк</t>
  </si>
  <si>
    <t>Косуль Людмила</t>
  </si>
  <si>
    <t>Плавание в ластах - 1500 м (1460131811Я),  женщины, мужчины (ОКС;КК)</t>
  </si>
  <si>
    <t>Подводное плавание - 400 м (1460151811Я),  женщины (ВС;ОКС;КК)</t>
  </si>
  <si>
    <t>Панова Виктория</t>
  </si>
  <si>
    <t>Подводное плавание - 400 м (1460151811Я),  мужчины (ВС;ОКС;КК)</t>
  </si>
  <si>
    <t>Пугачев Степан</t>
  </si>
  <si>
    <t>КК;</t>
  </si>
  <si>
    <t>Петухов Никита</t>
  </si>
  <si>
    <t>Шарнин Павел</t>
  </si>
  <si>
    <t xml:space="preserve">Кустиади Бинтанг </t>
  </si>
  <si>
    <t xml:space="preserve">Причинина Татьяна </t>
  </si>
  <si>
    <t>Стрелец Софья</t>
  </si>
  <si>
    <t>Курносова Екатерина</t>
  </si>
  <si>
    <t>Кравченко Татьяна</t>
  </si>
  <si>
    <t>КАТТ</t>
  </si>
  <si>
    <t>Моложаева Софья</t>
  </si>
  <si>
    <t>Хромова Полина</t>
  </si>
  <si>
    <t>Соболева Дарья</t>
  </si>
  <si>
    <t>МГТУ им.Н.Э.Баумана</t>
  </si>
  <si>
    <t>Моргунов Руслан</t>
  </si>
  <si>
    <t>КрИЖТ</t>
  </si>
  <si>
    <t>Подковырова Еккатерина</t>
  </si>
  <si>
    <t>Филимонова Виолетта</t>
  </si>
  <si>
    <t>Яковлева Ольга</t>
  </si>
  <si>
    <t>Паршина Алена</t>
  </si>
  <si>
    <t>Курбатова Инга</t>
  </si>
  <si>
    <t>Добрынин Кирилл</t>
  </si>
  <si>
    <t>Кустиади Бинтанг Вега</t>
  </si>
  <si>
    <t>Алексевкин Анатолий</t>
  </si>
  <si>
    <t>Спутник-Авангард</t>
  </si>
  <si>
    <t>КСШ г.Ачинск</t>
  </si>
  <si>
    <t xml:space="preserve">СШОР- ДВС СибГУ </t>
  </si>
  <si>
    <t>г. Красноярск, бассейн ДВС СибГУ, 50 м</t>
  </si>
  <si>
    <t>30 октября 2021 г.</t>
  </si>
  <si>
    <t>СПИСОК СУДЕЙ</t>
  </si>
  <si>
    <t>Должность</t>
  </si>
  <si>
    <t>Фамилия, Имя, Отчество</t>
  </si>
  <si>
    <t>Кате- гория</t>
  </si>
  <si>
    <t>Город, клуб</t>
  </si>
  <si>
    <t>Бабаев Федор Игоревич</t>
  </si>
  <si>
    <t>СС1К</t>
  </si>
  <si>
    <t>Красноярск</t>
  </si>
  <si>
    <t>Зам.гл.судьи - врач</t>
  </si>
  <si>
    <t>Тимощук Наталья Александровна</t>
  </si>
  <si>
    <t>Главный секретарь</t>
  </si>
  <si>
    <t>Реди Елена Владимировна</t>
  </si>
  <si>
    <t>Зам.гл.секретаря</t>
  </si>
  <si>
    <t>Моложаева Софья Витальевна</t>
  </si>
  <si>
    <t>СС3К</t>
  </si>
  <si>
    <t>Стартер</t>
  </si>
  <si>
    <t>Крутяков Андрей Владимирович</t>
  </si>
  <si>
    <t>Старший судья на дистанции</t>
  </si>
  <si>
    <t>Лучискенс Татьяна Викторовна</t>
  </si>
  <si>
    <t>ССВК</t>
  </si>
  <si>
    <t>Старший судья на финише</t>
  </si>
  <si>
    <t>Злобин Андрей Алексеевич</t>
  </si>
  <si>
    <t>СС2К</t>
  </si>
  <si>
    <t>Старший судья по награждению</t>
  </si>
  <si>
    <t>Жаткина Анастасия Юрьевна</t>
  </si>
  <si>
    <t>Старший судья при участниках</t>
  </si>
  <si>
    <t>Саранина Полина Алексеевна</t>
  </si>
  <si>
    <t>Старший судья на повороте</t>
  </si>
  <si>
    <t>Петухов Никита Андреевич</t>
  </si>
  <si>
    <t>СС</t>
  </si>
  <si>
    <t>Судья информатор</t>
  </si>
  <si>
    <t>Фалеева Елена Александровна</t>
  </si>
  <si>
    <t>Старший секундометрист</t>
  </si>
  <si>
    <t>Стародубцева Анна Евгеньевна</t>
  </si>
  <si>
    <t>Помошник старшего секундометриста</t>
  </si>
  <si>
    <t>Стенькина Софья Евгеньевна</t>
  </si>
  <si>
    <t>Секундометрист</t>
  </si>
  <si>
    <t>Лисовик Алла Николаевна</t>
  </si>
  <si>
    <t>Ямковая Дарья Андреевна</t>
  </si>
  <si>
    <t>Яровицкая Вера Васильевна</t>
  </si>
  <si>
    <t>Юмашева Яна Павловна</t>
  </si>
  <si>
    <t>Просалова Алина Александровна</t>
  </si>
  <si>
    <t>Веккессер Полина Эдуардовна</t>
  </si>
  <si>
    <t xml:space="preserve">Секундометрист </t>
  </si>
  <si>
    <t>Мамаева Юлия Сергеевна</t>
  </si>
  <si>
    <t>Секретарь</t>
  </si>
  <si>
    <t>Поляков Вячеслав Вячеславович</t>
  </si>
  <si>
    <t>Судья на дистанции</t>
  </si>
  <si>
    <t>Иванов Олег Александрович</t>
  </si>
  <si>
    <t>Матвеев Петр Алексеевич</t>
  </si>
  <si>
    <t>Судья на финише</t>
  </si>
  <si>
    <t>Савосин Радион Дмитриевич</t>
  </si>
  <si>
    <t>Сухарев Максим Сергеевич</t>
  </si>
  <si>
    <t>Попов Павел Александрович</t>
  </si>
  <si>
    <t>Рефери</t>
  </si>
  <si>
    <t>Толстопятов Игорь Анатольевич</t>
  </si>
  <si>
    <t>П Р О Т О К О Л</t>
  </si>
  <si>
    <t>технических результатов в эстафетах</t>
  </si>
  <si>
    <t>Фамилия, Имя</t>
  </si>
  <si>
    <t>Нор-матив</t>
  </si>
  <si>
    <t>Предв.</t>
  </si>
  <si>
    <t>Финал</t>
  </si>
  <si>
    <t>Iюн</t>
  </si>
  <si>
    <t>ф/с</t>
  </si>
  <si>
    <t>н/я</t>
  </si>
  <si>
    <t>1.09,60</t>
  </si>
  <si>
    <t>1.14,62</t>
  </si>
  <si>
    <t>1.03,62</t>
  </si>
  <si>
    <t>1.07,26</t>
  </si>
  <si>
    <t>1.00,08</t>
  </si>
  <si>
    <t>1.02,42</t>
  </si>
  <si>
    <t>18.28,91</t>
  </si>
  <si>
    <t>15.21,13</t>
  </si>
  <si>
    <t>15.18,73</t>
  </si>
  <si>
    <t>16.11,79</t>
  </si>
  <si>
    <t>19.00,44</t>
  </si>
  <si>
    <t>14.26,42</t>
  </si>
  <si>
    <t>15.34,80</t>
  </si>
  <si>
    <t>IIIюн</t>
  </si>
  <si>
    <t>IIюн</t>
  </si>
  <si>
    <t>3.32,32</t>
  </si>
  <si>
    <t>3.19,88</t>
  </si>
  <si>
    <t>3.23,08</t>
  </si>
  <si>
    <t>3.22,78</t>
  </si>
  <si>
    <t>3.19,54</t>
  </si>
  <si>
    <t>3.25,31</t>
  </si>
  <si>
    <t>3.39,8/2</t>
  </si>
  <si>
    <t>3.42,11</t>
  </si>
  <si>
    <t>3.16,81</t>
  </si>
  <si>
    <t>3.06,44</t>
  </si>
  <si>
    <t>3.15,89</t>
  </si>
  <si>
    <t>3.23,16</t>
  </si>
  <si>
    <t>3.07,76</t>
  </si>
  <si>
    <t>1.33,16</t>
  </si>
  <si>
    <t>1.35,85</t>
  </si>
  <si>
    <t>1.36,05</t>
  </si>
  <si>
    <t>1.36,49</t>
  </si>
  <si>
    <t>1.38,22</t>
  </si>
  <si>
    <t>1.22,41</t>
  </si>
  <si>
    <t>1.24,52</t>
  </si>
  <si>
    <t>1.26,34</t>
  </si>
  <si>
    <t>1.27,38</t>
  </si>
  <si>
    <t>1.28,53</t>
  </si>
  <si>
    <t>1.28,28</t>
  </si>
  <si>
    <t>1.38,98</t>
  </si>
  <si>
    <t>6.47,99</t>
  </si>
  <si>
    <t>7.00,91</t>
  </si>
  <si>
    <t>1.41,48</t>
  </si>
  <si>
    <t>8.05,48</t>
  </si>
  <si>
    <t>1.56,14</t>
  </si>
  <si>
    <t>6.01,06</t>
  </si>
  <si>
    <t>1.30,75</t>
  </si>
  <si>
    <t>6.13,36</t>
  </si>
  <si>
    <t>1.31,92</t>
  </si>
  <si>
    <t>6.20,87</t>
  </si>
  <si>
    <t>1.35,11</t>
  </si>
  <si>
    <t>6.37,33</t>
  </si>
  <si>
    <t>1.33,27</t>
  </si>
  <si>
    <t>6.37,85</t>
  </si>
  <si>
    <t>1.35,21</t>
  </si>
  <si>
    <t xml:space="preserve">Плавание в классических ластах - эстафета 4 по 50 метров, мужчины </t>
  </si>
  <si>
    <t>Плавание в классических ластах - эстафета 4 по 50 метров, женщины</t>
  </si>
  <si>
    <t>Плавание в ластах - эстафета 4 по 200 метров, женщины</t>
  </si>
  <si>
    <t xml:space="preserve">Плавание в ластах - эстафета 4 по 200 метров, мужчины </t>
  </si>
  <si>
    <t>Открытый Кубок СибГУ</t>
  </si>
  <si>
    <t xml:space="preserve">Плавание в ластах - 100 м (1460091811Я),  женщины </t>
  </si>
  <si>
    <t xml:space="preserve">Плавание в ластах - 100 м (1460091811Я),  мужчины </t>
  </si>
  <si>
    <t xml:space="preserve">Плавание в классических ластах- 100 м (1460251811Я),  женщины </t>
  </si>
  <si>
    <t>Кубок Красноярского края</t>
  </si>
  <si>
    <t xml:space="preserve">Плавание в ластах - 1500 м (1460131811Я),  женщины, мужчины </t>
  </si>
  <si>
    <t xml:space="preserve">Подводное плавание - 400 м (1460151811Я),  женщины </t>
  </si>
  <si>
    <t xml:space="preserve">Подводное плавание - 400 м (1460151811Я),  мужчины </t>
  </si>
  <si>
    <t>СибГУ г.Красноярск</t>
  </si>
  <si>
    <t>КГПУ г. Красноярск</t>
  </si>
  <si>
    <t>ТГУ г. Томск</t>
  </si>
  <si>
    <t>СФУ г.Красноярск</t>
  </si>
  <si>
    <t>СибГУ-1 г. Красноярск</t>
  </si>
  <si>
    <t>СибГУ г. Красноярск</t>
  </si>
  <si>
    <t>СибГУ-1 г.Красноярск</t>
  </si>
  <si>
    <t>РАНХиГС  г. Москва</t>
  </si>
  <si>
    <t>СибГУ-2 г. Красноярск</t>
  </si>
  <si>
    <t>СФУ г. Красноярск</t>
  </si>
  <si>
    <t xml:space="preserve">08-10 декабря 2021 г. </t>
  </si>
  <si>
    <t>3.39,82</t>
  </si>
  <si>
    <t>Спутник - Авангард</t>
  </si>
  <si>
    <t>СШОР ДВС СибГУ</t>
  </si>
  <si>
    <t>СШОР  ДВС СибГУ</t>
  </si>
  <si>
    <t>Иститут леса им. В.Н. Сукачева г. Красноярск</t>
  </si>
  <si>
    <t>ЯГПУ г.Ярославль</t>
  </si>
  <si>
    <t>НИ ТГУ г. Томск</t>
  </si>
  <si>
    <t xml:space="preserve">ДСТ п. Березовка </t>
  </si>
  <si>
    <t>РАНХиГС г. Москва</t>
  </si>
  <si>
    <t>СФУ г.Крсноярск</t>
  </si>
  <si>
    <t>УрФУ г. Екатеринбург</t>
  </si>
  <si>
    <t>ТГАСУ г. Томск</t>
  </si>
  <si>
    <t>«СГУС» г. Смоленск</t>
  </si>
  <si>
    <t>КрИЖТ г.Красноярск</t>
  </si>
  <si>
    <t>РАНХиГС г.Москва</t>
  </si>
  <si>
    <t>УралГУФК г.Челябинск</t>
  </si>
  <si>
    <t>УрФУ г.Екатеринбург</t>
  </si>
  <si>
    <t>КГПУ г.Красноярск</t>
  </si>
  <si>
    <t>АК СибГУ г.Красноярск</t>
  </si>
  <si>
    <t>ВСТТС г. Красноярск</t>
  </si>
  <si>
    <t>КАТТ г.Красноярск</t>
  </si>
  <si>
    <t>КрИЖТ г. Красноярск</t>
  </si>
  <si>
    <t>СибЮИ МВД г. Красноярск</t>
  </si>
  <si>
    <t>МГТУ им.Н.Э.Баумана  г. Москва</t>
  </si>
  <si>
    <t>УралГУФК г. Челябинск</t>
  </si>
  <si>
    <t>МГТУ им.Н.Э.Баумана г. Москва</t>
  </si>
  <si>
    <t>ЯГПУ г. Ярославль</t>
  </si>
  <si>
    <t>командных результатов</t>
  </si>
  <si>
    <t>08-10 декабря 2021 г.</t>
  </si>
  <si>
    <t xml:space="preserve">Зачеты
</t>
  </si>
  <si>
    <t>МГТУ им. Н.Э.Баумана г. Москва</t>
  </si>
  <si>
    <t>СГУС г. Смоленск</t>
  </si>
  <si>
    <t>Щибрик Илья</t>
  </si>
  <si>
    <t xml:space="preserve">Курбатова Инга </t>
  </si>
  <si>
    <t>Черкашина Мария</t>
  </si>
  <si>
    <t xml:space="preserve">Паршина Алена </t>
  </si>
  <si>
    <t xml:space="preserve">Желтобрюхов Владислав </t>
  </si>
  <si>
    <t xml:space="preserve">Аршанов Денис </t>
  </si>
  <si>
    <t>Сибирцев Роман</t>
  </si>
  <si>
    <t xml:space="preserve">Щибрик Илья </t>
  </si>
  <si>
    <t>Ермоваева Софья</t>
  </si>
  <si>
    <t>Желтобрюхов Владислав</t>
  </si>
  <si>
    <t>4.25,32</t>
  </si>
  <si>
    <t>4.15,81</t>
  </si>
  <si>
    <t>3.55,72</t>
  </si>
  <si>
    <t>3.50,92</t>
  </si>
  <si>
    <t>3.39,05</t>
  </si>
  <si>
    <t>3.46,78</t>
  </si>
  <si>
    <t>4.05,78</t>
  </si>
  <si>
    <t>3.28,59</t>
  </si>
  <si>
    <t>4.17,24</t>
  </si>
  <si>
    <t>4.10,47</t>
  </si>
  <si>
    <t>4.00,71</t>
  </si>
  <si>
    <t>3.38,93</t>
  </si>
  <si>
    <t>3.37,91</t>
  </si>
  <si>
    <t>3.26,01</t>
  </si>
  <si>
    <t>3.18,04</t>
  </si>
  <si>
    <t>3.29,66</t>
  </si>
  <si>
    <t>3.39,16</t>
  </si>
  <si>
    <t>3.59,76</t>
  </si>
  <si>
    <t>3.33,98</t>
  </si>
  <si>
    <t>4.42,19</t>
  </si>
  <si>
    <t>4.11,53</t>
  </si>
  <si>
    <t>4.23,35</t>
  </si>
  <si>
    <t>4.19,01</t>
  </si>
  <si>
    <t>4.28,36</t>
  </si>
  <si>
    <t>4.36,67</t>
  </si>
  <si>
    <t>4.48,65</t>
  </si>
  <si>
    <t>4.49,14</t>
  </si>
  <si>
    <t>4.03,43</t>
  </si>
  <si>
    <t>3.59,62</t>
  </si>
  <si>
    <t>4.00,73</t>
  </si>
  <si>
    <t>3.59,32</t>
  </si>
  <si>
    <t>4.05,94</t>
  </si>
  <si>
    <t>4.08,06</t>
  </si>
  <si>
    <t>снят за переныр</t>
  </si>
  <si>
    <t>4.17,65</t>
  </si>
  <si>
    <t>5.21,77</t>
  </si>
  <si>
    <t>4.42,07</t>
  </si>
  <si>
    <t>3.59,02</t>
  </si>
  <si>
    <t>4.22,68</t>
  </si>
  <si>
    <t>4.08,39</t>
  </si>
  <si>
    <t>4.16,78</t>
  </si>
  <si>
    <t>4.01,94</t>
  </si>
  <si>
    <t>3.56,49</t>
  </si>
  <si>
    <t>4.00,08</t>
  </si>
  <si>
    <t>3.47,69</t>
  </si>
  <si>
    <t>3.49,87</t>
  </si>
  <si>
    <t>3.46,88</t>
  </si>
  <si>
    <t>4.12,31</t>
  </si>
  <si>
    <t>3.56,47</t>
  </si>
  <si>
    <t>3.56,11</t>
  </si>
  <si>
    <t>3.54,96</t>
  </si>
  <si>
    <t>3.44,35</t>
  </si>
  <si>
    <t>3.32,75</t>
  </si>
  <si>
    <t>3.32,57</t>
  </si>
  <si>
    <t>3.41,81</t>
  </si>
  <si>
    <t>3.34,99</t>
  </si>
  <si>
    <t>4.00,50</t>
  </si>
  <si>
    <t>3.50,32</t>
  </si>
  <si>
    <t>2.57,98</t>
  </si>
  <si>
    <t>44.88</t>
  </si>
  <si>
    <t>3.00,82</t>
  </si>
  <si>
    <t>3.03,29</t>
  </si>
  <si>
    <t>3.02,42</t>
  </si>
  <si>
    <t>сошла</t>
  </si>
  <si>
    <t>2.34,13</t>
  </si>
  <si>
    <t>3.39,04</t>
  </si>
  <si>
    <t>2.48,89</t>
  </si>
  <si>
    <t>41.14</t>
  </si>
  <si>
    <t>2.52,51</t>
  </si>
  <si>
    <t>2.53,40</t>
  </si>
  <si>
    <t xml:space="preserve">Плавание в ластах - 50 м (1460081811Я),  женщины </t>
  </si>
  <si>
    <t xml:space="preserve">Плавание в ластах - 50 м (1460081811Я),  мужчины </t>
  </si>
  <si>
    <t xml:space="preserve">Плавание в классических ластах- 50 м (1460241811Я),  женщины </t>
  </si>
  <si>
    <t xml:space="preserve">Плавание в классических ластах- 50 м (1460241811Я),  мужчины  </t>
  </si>
  <si>
    <t xml:space="preserve">Подводное плавание - 100 м (1460141811Я),  женщины </t>
  </si>
  <si>
    <t xml:space="preserve">Подводное плавание - 100 м (1460141811Я),  мужчины </t>
  </si>
  <si>
    <t xml:space="preserve">Плавание в ластах - 400 м (1460111811Я),  женщины </t>
  </si>
  <si>
    <t xml:space="preserve">Плавание в ластах - 400 м (1460111811Я),  мужчины </t>
  </si>
  <si>
    <t xml:space="preserve">Плавание в классических ластах- 400 м (1460411811Я),  женщины </t>
  </si>
  <si>
    <t xml:space="preserve">Плавание в классических ластах- 400 м (1460411811Я),  мужчины  </t>
  </si>
  <si>
    <t xml:space="preserve">Плавание в ластах - эстафета  4 по 100 м женщины </t>
  </si>
  <si>
    <t xml:space="preserve">Плавание в ластах - эстафета 4 по 100 м  мужчины </t>
  </si>
  <si>
    <t>Спутник Авангард</t>
  </si>
  <si>
    <t>"Спутник" - Авангард</t>
  </si>
  <si>
    <t>КАТТ г. Красноярск</t>
  </si>
  <si>
    <t xml:space="preserve">Плавание в классических ластах- 400 м (1460411811Я),  мужчины </t>
  </si>
  <si>
    <t>3.20,64</t>
  </si>
  <si>
    <t>Савосин Радион</t>
  </si>
  <si>
    <t>Ныряние в ластах в длину - 50 м (1460171811Я),  женщины (ВС;ОКС;КК)</t>
  </si>
  <si>
    <t>ВС; ОКС;КК</t>
  </si>
  <si>
    <t>ВС; ОКС</t>
  </si>
  <si>
    <t>Ныряние в ластах в длину - 50 м (1460171811Я),  мужчины (ВС;ОКС;КК)</t>
  </si>
  <si>
    <t>Плавание в ластах - 200 м (1460101811Я),  женщины (ВС;ОКС;КК)</t>
  </si>
  <si>
    <t>Плавание в ластах - 200 м (1460101811Я),  мужчины (ВС;ОКС;КК)</t>
  </si>
  <si>
    <t xml:space="preserve">МС </t>
  </si>
  <si>
    <t>Плавание в классических ластах- 200 м (1460261811Я),  женщины (ВС;ОКС;КК)</t>
  </si>
  <si>
    <t>Плавание в классических ластах- 200 м (1460261811Я),  мужчины (ВС;ОКС;КК)</t>
  </si>
  <si>
    <t>СШОР Спутник СибГУ-5</t>
  </si>
  <si>
    <t>СШОР Спутник СибГУ-7</t>
  </si>
  <si>
    <t>СШОР Спутник СибГУ-12</t>
  </si>
  <si>
    <t>СШОР Спутник СибГУ-10</t>
  </si>
  <si>
    <t>СШОР Спутник СибГУ-3</t>
  </si>
  <si>
    <t>Плавание в ластах - 800 м (1460121811Я),  женщины (ВС;ОКС;КК)</t>
  </si>
  <si>
    <t>Плавание в ластах - 800 м (1460121811Я),  мужчины (ВС;ОКС;КК)</t>
  </si>
  <si>
    <t>Дианема-2</t>
  </si>
  <si>
    <t>Зборщик мария</t>
  </si>
  <si>
    <t>Аршанов Дения</t>
  </si>
  <si>
    <t>Плавание в классических ластах - эстафета 4по100 метров (смешанная)(ОКС;КК)</t>
  </si>
  <si>
    <t>Фатихова Рината</t>
  </si>
  <si>
    <t>Кононова Яна</t>
  </si>
  <si>
    <t>Алексевнин Анатолий</t>
  </si>
  <si>
    <t xml:space="preserve">СибГУ </t>
  </si>
  <si>
    <t>СибГУ - 1</t>
  </si>
  <si>
    <t>СШОР Спутник Сибгу - 1</t>
  </si>
  <si>
    <t>ТГУ</t>
  </si>
  <si>
    <t>Причинина Татьяна</t>
  </si>
  <si>
    <t>Огорода Юлия</t>
  </si>
  <si>
    <t>Баскаков Иван</t>
  </si>
  <si>
    <t>Козлов Степан</t>
  </si>
  <si>
    <t>Мартынов Кирилл</t>
  </si>
  <si>
    <t>Берестов Алексей</t>
  </si>
  <si>
    <t>7.47,42</t>
  </si>
  <si>
    <t>7.11,61</t>
  </si>
  <si>
    <t>7.05,16</t>
  </si>
  <si>
    <t>7.20,87</t>
  </si>
  <si>
    <t>6.59,97</t>
  </si>
  <si>
    <t>6.52,72</t>
  </si>
  <si>
    <t>6.55,98</t>
  </si>
  <si>
    <t>Подводное плавание - 800 м (1460161811Я), мужчины</t>
  </si>
  <si>
    <t>2.02,22</t>
  </si>
  <si>
    <t>1.44,97</t>
  </si>
  <si>
    <t>1.35,02</t>
  </si>
  <si>
    <t>1.39,31</t>
  </si>
  <si>
    <t>1.36,07</t>
  </si>
  <si>
    <t>1.38,15</t>
  </si>
  <si>
    <t>1.39,85</t>
  </si>
  <si>
    <t>1.46,82</t>
  </si>
  <si>
    <t>1.34,44</t>
  </si>
  <si>
    <t>1.41,76</t>
  </si>
  <si>
    <t>1.37,44</t>
  </si>
  <si>
    <t>1.38,62</t>
  </si>
  <si>
    <t>1.53,59</t>
  </si>
  <si>
    <t>1.49,22</t>
  </si>
  <si>
    <t>1.26,33</t>
  </si>
  <si>
    <t>1.35,60</t>
  </si>
  <si>
    <t>1.30,42</t>
  </si>
  <si>
    <t>1.32,19</t>
  </si>
  <si>
    <t>1.45,40</t>
  </si>
  <si>
    <t>1.28,66</t>
  </si>
  <si>
    <t>1.29,90</t>
  </si>
  <si>
    <t>1.26,59</t>
  </si>
  <si>
    <t>1.29,95</t>
  </si>
  <si>
    <t>1.30,87</t>
  </si>
  <si>
    <t>2.07,56</t>
  </si>
  <si>
    <t>2.06,81</t>
  </si>
  <si>
    <t>2.02,73</t>
  </si>
  <si>
    <t>2.05,75</t>
  </si>
  <si>
    <t>2.09,46</t>
  </si>
  <si>
    <t>2.06,96</t>
  </si>
  <si>
    <t>1.58,64</t>
  </si>
  <si>
    <t>2.05,74</t>
  </si>
  <si>
    <t>1.54,18</t>
  </si>
  <si>
    <t>1.51,78</t>
  </si>
  <si>
    <t>1.55,26</t>
  </si>
  <si>
    <t>1.56,18</t>
  </si>
  <si>
    <t>1.58,36</t>
  </si>
  <si>
    <t>2.02,84</t>
  </si>
  <si>
    <t>1.55,38</t>
  </si>
  <si>
    <t>1.54,36</t>
  </si>
  <si>
    <t>1.55,92</t>
  </si>
  <si>
    <t>1.49,90</t>
  </si>
  <si>
    <t>1.55,74</t>
  </si>
  <si>
    <t>1.50,28</t>
  </si>
  <si>
    <t>1.52,41</t>
  </si>
  <si>
    <t>1.53,62</t>
  </si>
  <si>
    <t>1.54,39</t>
  </si>
  <si>
    <t>1.52,64</t>
  </si>
  <si>
    <t>2.05,30</t>
  </si>
  <si>
    <t>1.54,11</t>
  </si>
  <si>
    <t>1.56,73</t>
  </si>
  <si>
    <t>1.55,69</t>
  </si>
  <si>
    <t>1.55,42</t>
  </si>
  <si>
    <t>2.00,75</t>
  </si>
  <si>
    <t>1.59,96</t>
  </si>
  <si>
    <t>1.49,16</t>
  </si>
  <si>
    <t>1.48,48</t>
  </si>
  <si>
    <t>2.00,01</t>
  </si>
  <si>
    <t>2.06,98</t>
  </si>
  <si>
    <t>1.53,27</t>
  </si>
  <si>
    <t>1.48,49</t>
  </si>
  <si>
    <t>1.55,78</t>
  </si>
  <si>
    <t>1.45,12</t>
  </si>
  <si>
    <t>1.44,15</t>
  </si>
  <si>
    <t>1.56,64</t>
  </si>
  <si>
    <t>1.52,17</t>
  </si>
  <si>
    <t>1.45,95</t>
  </si>
  <si>
    <t>1.43,72</t>
  </si>
  <si>
    <t>1.39,15</t>
  </si>
  <si>
    <t>1.53,09</t>
  </si>
  <si>
    <t>1.44,50</t>
  </si>
  <si>
    <t>1.38,71</t>
  </si>
  <si>
    <t>1.39,03</t>
  </si>
  <si>
    <t>1.38,64</t>
  </si>
  <si>
    <t>1.42,57</t>
  </si>
  <si>
    <t>8.44,26</t>
  </si>
  <si>
    <t>7.55,14</t>
  </si>
  <si>
    <t>8.02,37</t>
  </si>
  <si>
    <t>7.18,00</t>
  </si>
  <si>
    <t>8.27,35</t>
  </si>
  <si>
    <t>8.03,92</t>
  </si>
  <si>
    <t>9.37,06</t>
  </si>
  <si>
    <t>9.17,48</t>
  </si>
  <si>
    <t>10.52,50</t>
  </si>
  <si>
    <t>8.53,44</t>
  </si>
  <si>
    <t>7.18,84</t>
  </si>
  <si>
    <t>7.22,33</t>
  </si>
  <si>
    <t>7.45,74</t>
  </si>
  <si>
    <t>7.34,40</t>
  </si>
  <si>
    <t>9.14,71</t>
  </si>
  <si>
    <t>10.11,18</t>
  </si>
  <si>
    <t>3.11,17</t>
  </si>
  <si>
    <t>3.19,03</t>
  </si>
  <si>
    <t>3.25,95</t>
  </si>
  <si>
    <t>3.00,60</t>
  </si>
  <si>
    <t>3.07,50</t>
  </si>
  <si>
    <t>3.07,79</t>
  </si>
  <si>
    <t>2.38,29</t>
  </si>
  <si>
    <t>2.39,08</t>
  </si>
  <si>
    <t>2.45,61</t>
  </si>
  <si>
    <t>2.55,15</t>
  </si>
  <si>
    <t>3.11,01</t>
  </si>
  <si>
    <t>Плавание в ластах - эстафета 4по100 метров (мужчины) (ВС) и ОКС</t>
  </si>
  <si>
    <t>Плавание в ластах - эстафета 4по100 метров (женщины) (ВС) и ОКС</t>
  </si>
  <si>
    <t>10</t>
  </si>
  <si>
    <t>11</t>
  </si>
  <si>
    <t>1.16,07</t>
  </si>
  <si>
    <t>1.11,57</t>
  </si>
  <si>
    <t>1.14,61</t>
  </si>
  <si>
    <t>1.17,89</t>
  </si>
  <si>
    <t>1.20,16</t>
  </si>
  <si>
    <t>3.13,03</t>
  </si>
  <si>
    <t>3.15,06</t>
  </si>
  <si>
    <t>3.18,44</t>
  </si>
  <si>
    <t xml:space="preserve">Плавание в ластах - эстафета 4по50 метров (смешанная) </t>
  </si>
  <si>
    <t>Плавание в классических ластах - эстафета 4по100 метров (смешанная)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</si>
</sst>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_-* #,##0.00\ _₽_-;\-* #,##0.00\ _₽_-;_-* &quot;-&quot;??\ _₽_-;_-@_-"/>
    <numFmt numFmtId="165" formatCode="#,##0&quot;р.&quot;;[Red]\-#,##0&quot;р.&quot;"/>
    <numFmt numFmtId="166" formatCode="[&gt;9999]##\:##\.#0.00;[&gt;99]##\.#0.00;#0.00"/>
    <numFmt numFmtId="167" formatCode="[&gt;9]#0;General"/>
    <numFmt numFmtId="168" formatCode="##\:##\.#0.00"/>
    <numFmt numFmtId="169" formatCode="00\ \,00\ \,\ 00"/>
    <numFmt numFmtId="170" formatCode="000"/>
    <numFmt numFmtId="171" formatCode="mm:ss.0;@"/>
    <numFmt numFmtId="172" formatCode="mm\/ss.00"/>
    <numFmt numFmtId="173" formatCode="hh:mm\/ss.00"/>
    <numFmt numFmtId="174" formatCode="[&gt;9999]#\:##.#0\.00;[&gt;99]#.#0\.00;#0.0"/>
    <numFmt numFmtId="175" formatCode="_-* #,##0.0\ _₽_-;\-* #,##0.0\ _₽_-;_-* &quot;-&quot;??\ _₽_-;_-@_-"/>
    <numFmt numFmtId="176" formatCode="yyyy"/>
    <numFmt numFmtId="177" formatCode="[&gt;9999]&quot;:&quot;##&quot;.&quot;###0.00;[&gt;99]&quot;.&quot;###0.00;#0.00"/>
  </numFmts>
  <fonts count="171">
    <font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9"/>
      <color indexed="8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7"/>
      <name val="Times New Roman"/>
      <family val="1"/>
      <charset val="204"/>
    </font>
    <font>
      <b/>
      <u/>
      <sz val="9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9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u/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i/>
      <u/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</font>
    <font>
      <b/>
      <i/>
      <sz val="11"/>
      <color theme="1"/>
      <name val="Calibri"/>
      <family val="2"/>
      <charset val="204"/>
      <scheme val="minor"/>
    </font>
    <font>
      <b/>
      <i/>
      <sz val="14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6"/>
      <color indexed="8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i/>
      <sz val="14"/>
      <color indexed="8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1"/>
      <color rgb="FF002060"/>
      <name val="Times New Roman"/>
      <family val="1"/>
      <charset val="204"/>
    </font>
    <font>
      <b/>
      <i/>
      <u/>
      <sz val="14"/>
      <color rgb="FF00206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i/>
      <sz val="7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b/>
      <u/>
      <sz val="1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26"/>
      <name val="Times New Roman"/>
      <family val="1"/>
      <charset val="204"/>
    </font>
    <font>
      <b/>
      <sz val="6"/>
      <color indexed="8"/>
      <name val="Times New Roman"/>
      <family val="1"/>
      <charset val="204"/>
    </font>
    <font>
      <b/>
      <u/>
      <sz val="16"/>
      <color indexed="8"/>
      <name val="Times New Roman"/>
      <family val="1"/>
      <charset val="204"/>
    </font>
    <font>
      <b/>
      <i/>
      <u/>
      <sz val="14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u/>
      <sz val="14"/>
      <color rgb="FFC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u/>
      <sz val="11"/>
      <color theme="1"/>
      <name val="Times New Roman"/>
      <family val="1"/>
      <charset val="204"/>
    </font>
    <font>
      <b/>
      <i/>
      <sz val="11"/>
      <color rgb="FFFF0000"/>
      <name val="Calibri"/>
      <family val="2"/>
      <charset val="204"/>
      <scheme val="minor"/>
    </font>
    <font>
      <b/>
      <u/>
      <sz val="10"/>
      <color theme="1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5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20"/>
      <color rgb="FF000000"/>
      <name val="Times New Roman"/>
      <family val="1"/>
      <charset val="204"/>
    </font>
    <font>
      <b/>
      <i/>
      <sz val="36"/>
      <name val="Times New Roman"/>
      <family val="1"/>
      <charset val="204"/>
    </font>
    <font>
      <sz val="16"/>
      <name val="Times New Roman"/>
      <family val="1"/>
      <charset val="204"/>
    </font>
    <font>
      <b/>
      <sz val="28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i/>
      <sz val="18"/>
      <name val="Times New Roman"/>
      <family val="1"/>
      <charset val="204"/>
    </font>
    <font>
      <sz val="16"/>
      <color rgb="FFFFFFFF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12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i/>
      <u/>
      <sz val="9"/>
      <name val="Times New Roman"/>
      <family val="1"/>
      <charset val="204"/>
    </font>
    <font>
      <sz val="14"/>
      <name val="Times New Roman"/>
      <family val="1"/>
    </font>
    <font>
      <sz val="10"/>
      <color rgb="FFC00000"/>
      <name val="Times New Roman"/>
      <family val="1"/>
      <charset val="204"/>
    </font>
    <font>
      <b/>
      <sz val="16"/>
      <color rgb="FF7030A0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0"/>
      <color rgb="FF0070C0"/>
      <name val="Times New Roman"/>
      <family val="1"/>
      <charset val="204"/>
    </font>
    <font>
      <sz val="19"/>
      <name val="Times New Roman"/>
      <family val="1"/>
    </font>
    <font>
      <sz val="15"/>
      <name val="Times New Roman Cyr"/>
      <charset val="204"/>
    </font>
    <font>
      <sz val="19"/>
      <name val="Times New Roman Cyr"/>
      <charset val="204"/>
    </font>
    <font>
      <sz val="19"/>
      <name val="Times New Roman"/>
      <family val="1"/>
      <charset val="204"/>
    </font>
    <font>
      <sz val="15"/>
      <name val="Times New Roman"/>
      <family val="1"/>
    </font>
    <font>
      <sz val="18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16"/>
      <name val="Times New Roman"/>
      <family val="1"/>
    </font>
    <font>
      <sz val="16"/>
      <name val="Times New Roman Cyr"/>
      <charset val="204"/>
    </font>
    <font>
      <i/>
      <sz val="14"/>
      <color theme="1"/>
      <name val="Times New Roman"/>
      <family val="1"/>
      <charset val="204"/>
    </font>
    <font>
      <b/>
      <i/>
      <sz val="13"/>
      <color theme="1"/>
      <name val="Times New Roman"/>
      <family val="1"/>
      <charset val="204"/>
    </font>
    <font>
      <i/>
      <sz val="14"/>
      <name val="Times New Roman"/>
      <family val="1"/>
    </font>
    <font>
      <sz val="14"/>
      <name val="Times New Roman Cyr"/>
      <charset val="204"/>
    </font>
    <font>
      <sz val="18"/>
      <color indexed="8"/>
      <name val="Times New Roman"/>
      <family val="1"/>
      <charset val="204"/>
    </font>
    <font>
      <b/>
      <i/>
      <u/>
      <sz val="18"/>
      <color indexed="8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20"/>
      <color indexed="8"/>
      <name val="Times New Roman"/>
      <family val="1"/>
      <charset val="204"/>
    </font>
    <font>
      <b/>
      <i/>
      <u/>
      <sz val="20"/>
      <color indexed="8"/>
      <name val="Times New Roman"/>
      <family val="1"/>
      <charset val="204"/>
    </font>
    <font>
      <b/>
      <i/>
      <sz val="20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i/>
      <u/>
      <sz val="16"/>
      <color indexed="8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sz val="9"/>
      <color rgb="FFC00000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u/>
      <sz val="10"/>
      <color theme="1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b/>
      <u/>
      <sz val="9"/>
      <color theme="1"/>
      <name val="Times New Roman"/>
      <family val="1"/>
      <charset val="204"/>
    </font>
    <font>
      <b/>
      <u/>
      <sz val="9"/>
      <color indexed="8"/>
      <name val="Times New Roman"/>
      <family val="1"/>
      <charset val="204"/>
    </font>
    <font>
      <b/>
      <u/>
      <sz val="11"/>
      <color theme="1"/>
      <name val="Calibri"/>
      <family val="2"/>
      <charset val="204"/>
      <scheme val="minor"/>
    </font>
    <font>
      <sz val="9"/>
      <color rgb="FFFF0000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b/>
      <sz val="9"/>
      <color rgb="FFFF0000"/>
      <name val="Times New Roman"/>
      <family val="1"/>
      <charset val="204"/>
    </font>
    <font>
      <u/>
      <sz val="10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  <font>
      <b/>
      <u/>
      <sz val="10"/>
      <color theme="1"/>
      <name val="Calibri"/>
      <family val="2"/>
      <charset val="204"/>
      <scheme val="minor"/>
    </font>
    <font>
      <b/>
      <u/>
      <sz val="11"/>
      <color indexed="8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9"/>
        <bgColor auto="1"/>
      </patternFill>
    </fill>
  </fills>
  <borders count="10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9">
    <xf numFmtId="0" fontId="0" fillId="0" borderId="0"/>
    <xf numFmtId="0" fontId="98" fillId="0" borderId="0"/>
    <xf numFmtId="0" fontId="112" fillId="0" borderId="0"/>
    <xf numFmtId="164" fontId="124" fillId="0" borderId="0" applyFont="0" applyFill="0" applyBorder="0" applyAlignment="0" applyProtection="0"/>
    <xf numFmtId="0" fontId="139" fillId="0" borderId="0"/>
    <xf numFmtId="164" fontId="124" fillId="0" borderId="0" applyFont="0" applyFill="0" applyBorder="0" applyAlignment="0" applyProtection="0"/>
    <xf numFmtId="0" fontId="142" fillId="0" borderId="0"/>
    <xf numFmtId="0" fontId="143" fillId="0" borderId="0"/>
    <xf numFmtId="0" fontId="144" fillId="0" borderId="0" applyNumberFormat="0" applyFill="0" applyBorder="0" applyProtection="0"/>
  </cellStyleXfs>
  <cellXfs count="2001">
    <xf numFmtId="0" fontId="0" fillId="0" borderId="0" xfId="0"/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center" vertical="center" textRotation="90"/>
    </xf>
    <xf numFmtId="0" fontId="18" fillId="0" borderId="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15" fillId="0" borderId="0" xfId="0" applyFont="1" applyFill="1" applyBorder="1" applyAlignment="1">
      <alignment horizontal="left" vertical="center"/>
    </xf>
    <xf numFmtId="2" fontId="15" fillId="0" borderId="0" xfId="0" applyNumberFormat="1" applyFont="1" applyFill="1" applyAlignment="1">
      <alignment horizontal="right" vertical="center"/>
    </xf>
    <xf numFmtId="0" fontId="19" fillId="0" borderId="0" xfId="0" applyFont="1" applyBorder="1" applyAlignment="1">
      <alignment vertical="center"/>
    </xf>
    <xf numFmtId="1" fontId="19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Fill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2" fontId="15" fillId="0" borderId="0" xfId="0" applyNumberFormat="1" applyFont="1" applyFill="1" applyBorder="1" applyAlignment="1">
      <alignment horizontal="right" vertical="center"/>
    </xf>
    <xf numFmtId="1" fontId="19" fillId="0" borderId="0" xfId="0" applyNumberFormat="1" applyFont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top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166" fontId="7" fillId="0" borderId="0" xfId="0" applyNumberFormat="1" applyFont="1" applyFill="1" applyAlignment="1">
      <alignment vertical="center"/>
    </xf>
    <xf numFmtId="166" fontId="13" fillId="0" borderId="0" xfId="0" applyNumberFormat="1" applyFont="1" applyFill="1" applyBorder="1" applyAlignment="1">
      <alignment vertical="center"/>
    </xf>
    <xf numFmtId="166" fontId="7" fillId="0" borderId="0" xfId="0" applyNumberFormat="1" applyFont="1" applyFill="1" applyAlignment="1">
      <alignment horizontal="right" vertical="center"/>
    </xf>
    <xf numFmtId="166" fontId="7" fillId="0" borderId="0" xfId="0" applyNumberFormat="1" applyFont="1" applyFill="1" applyBorder="1" applyAlignment="1">
      <alignment horizontal="right" vertical="center"/>
    </xf>
    <xf numFmtId="0" fontId="28" fillId="0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0" fontId="27" fillId="0" borderId="0" xfId="0" applyFont="1" applyFill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166" fontId="27" fillId="0" borderId="0" xfId="0" applyNumberFormat="1" applyFont="1" applyFill="1" applyBorder="1" applyAlignment="1">
      <alignment horizontal="right" vertical="center"/>
    </xf>
    <xf numFmtId="168" fontId="27" fillId="0" borderId="0" xfId="0" applyNumberFormat="1" applyFont="1" applyFill="1" applyAlignment="1">
      <alignment horizontal="right" vertical="center"/>
    </xf>
    <xf numFmtId="0" fontId="29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166" fontId="15" fillId="0" borderId="0" xfId="0" applyNumberFormat="1" applyFont="1" applyFill="1" applyAlignment="1">
      <alignment horizontal="right" vertical="center"/>
    </xf>
    <xf numFmtId="1" fontId="15" fillId="0" borderId="0" xfId="0" applyNumberFormat="1" applyFont="1" applyFill="1" applyAlignment="1">
      <alignment horizontal="center"/>
    </xf>
    <xf numFmtId="1" fontId="13" fillId="0" borderId="0" xfId="0" applyNumberFormat="1" applyFont="1" applyFill="1" applyBorder="1" applyAlignment="1">
      <alignment horizontal="center" wrapText="1"/>
    </xf>
    <xf numFmtId="0" fontId="19" fillId="0" borderId="0" xfId="0" applyFont="1" applyBorder="1" applyAlignment="1">
      <alignment vertical="top"/>
    </xf>
    <xf numFmtId="166" fontId="33" fillId="0" borderId="0" xfId="0" applyNumberFormat="1" applyFont="1" applyFill="1" applyBorder="1" applyAlignment="1">
      <alignment horizontal="center" vertical="top"/>
    </xf>
    <xf numFmtId="166" fontId="33" fillId="0" borderId="0" xfId="0" applyNumberFormat="1" applyFont="1" applyBorder="1" applyAlignment="1">
      <alignment horizontal="center" vertical="top"/>
    </xf>
    <xf numFmtId="166" fontId="3" fillId="0" borderId="0" xfId="0" applyNumberFormat="1" applyFont="1" applyFill="1" applyBorder="1" applyAlignment="1">
      <alignment vertical="center"/>
    </xf>
    <xf numFmtId="1" fontId="3" fillId="0" borderId="0" xfId="0" applyNumberFormat="1" applyFont="1" applyFill="1" applyBorder="1" applyAlignment="1">
      <alignment horizontal="center" vertical="center"/>
    </xf>
    <xf numFmtId="166" fontId="3" fillId="0" borderId="0" xfId="0" applyNumberFormat="1" applyFont="1" applyFill="1" applyBorder="1" applyAlignment="1">
      <alignment horizontal="center" vertical="center"/>
    </xf>
    <xf numFmtId="167" fontId="2" fillId="0" borderId="0" xfId="0" applyNumberFormat="1" applyFont="1" applyFill="1" applyBorder="1" applyAlignment="1">
      <alignment horizontal="right" vertical="center"/>
    </xf>
    <xf numFmtId="166" fontId="2" fillId="0" borderId="0" xfId="0" applyNumberFormat="1" applyFont="1" applyFill="1" applyAlignment="1">
      <alignment horizontal="right" vertical="center"/>
    </xf>
    <xf numFmtId="166" fontId="2" fillId="0" borderId="0" xfId="0" applyNumberFormat="1" applyFont="1" applyFill="1" applyAlignment="1">
      <alignment horizontal="center" vertical="center"/>
    </xf>
    <xf numFmtId="166" fontId="2" fillId="0" borderId="0" xfId="0" applyNumberFormat="1" applyFont="1" applyFill="1" applyAlignment="1">
      <alignment vertical="center"/>
    </xf>
    <xf numFmtId="168" fontId="13" fillId="0" borderId="0" xfId="0" applyNumberFormat="1" applyFont="1" applyFill="1" applyBorder="1" applyAlignment="1">
      <alignment horizontal="right" vertical="center" wrapText="1"/>
    </xf>
    <xf numFmtId="0" fontId="15" fillId="0" borderId="14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left" vertical="center"/>
    </xf>
    <xf numFmtId="166" fontId="3" fillId="0" borderId="14" xfId="0" applyNumberFormat="1" applyFont="1" applyFill="1" applyBorder="1" applyAlignment="1">
      <alignment vertical="center"/>
    </xf>
    <xf numFmtId="166" fontId="3" fillId="0" borderId="5" xfId="0" applyNumberFormat="1" applyFont="1" applyFill="1" applyBorder="1" applyAlignment="1">
      <alignment vertical="center"/>
    </xf>
    <xf numFmtId="0" fontId="15" fillId="0" borderId="5" xfId="0" applyFont="1" applyFill="1" applyBorder="1" applyAlignment="1">
      <alignment horizontal="center" vertical="center"/>
    </xf>
    <xf numFmtId="166" fontId="3" fillId="0" borderId="32" xfId="0" applyNumberFormat="1" applyFont="1" applyFill="1" applyBorder="1" applyAlignment="1">
      <alignment vertical="center"/>
    </xf>
    <xf numFmtId="0" fontId="7" fillId="0" borderId="33" xfId="0" applyFont="1" applyFill="1" applyBorder="1" applyAlignment="1">
      <alignment horizontal="center" vertical="center"/>
    </xf>
    <xf numFmtId="166" fontId="7" fillId="0" borderId="0" xfId="0" applyNumberFormat="1" applyFont="1" applyFill="1" applyAlignment="1">
      <alignment horizontal="center" vertical="center"/>
    </xf>
    <xf numFmtId="166" fontId="13" fillId="0" borderId="0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right" vertical="center"/>
    </xf>
    <xf numFmtId="0" fontId="27" fillId="0" borderId="0" xfId="0" applyFont="1" applyFill="1" applyAlignment="1">
      <alignment horizontal="right" vertical="center"/>
    </xf>
    <xf numFmtId="0" fontId="15" fillId="0" borderId="0" xfId="0" applyFont="1" applyFill="1" applyBorder="1" applyAlignment="1">
      <alignment horizontal="right" vertical="center"/>
    </xf>
    <xf numFmtId="2" fontId="13" fillId="0" borderId="0" xfId="0" applyNumberFormat="1" applyFont="1" applyFill="1" applyBorder="1" applyAlignment="1">
      <alignment horizontal="right" vertical="center" wrapText="1"/>
    </xf>
    <xf numFmtId="0" fontId="32" fillId="0" borderId="0" xfId="0" applyFont="1" applyFill="1" applyAlignment="1">
      <alignment horizontal="left" vertical="center"/>
    </xf>
    <xf numFmtId="1" fontId="15" fillId="0" borderId="0" xfId="0" applyNumberFormat="1" applyFont="1" applyFill="1" applyAlignment="1">
      <alignment horizontal="center" vertical="center"/>
    </xf>
    <xf numFmtId="1" fontId="7" fillId="0" borderId="0" xfId="0" applyNumberFormat="1" applyFont="1" applyFill="1" applyBorder="1" applyAlignment="1">
      <alignment horizontal="right" vertical="center"/>
    </xf>
    <xf numFmtId="0" fontId="32" fillId="0" borderId="0" xfId="0" applyFont="1" applyFill="1" applyAlignment="1">
      <alignment horizontal="right" vertical="center"/>
    </xf>
    <xf numFmtId="169" fontId="7" fillId="0" borderId="0" xfId="0" applyNumberFormat="1" applyFont="1" applyFill="1" applyBorder="1" applyAlignment="1">
      <alignment vertical="center"/>
    </xf>
    <xf numFmtId="1" fontId="7" fillId="0" borderId="0" xfId="0" applyNumberFormat="1" applyFont="1" applyFill="1" applyAlignment="1">
      <alignment horizontal="center" vertical="center"/>
    </xf>
    <xf numFmtId="166" fontId="12" fillId="3" borderId="35" xfId="0" applyNumberFormat="1" applyFont="1" applyFill="1" applyBorder="1" applyAlignment="1">
      <alignment horizontal="center" vertical="center"/>
    </xf>
    <xf numFmtId="1" fontId="35" fillId="3" borderId="36" xfId="0" applyNumberFormat="1" applyFont="1" applyFill="1" applyBorder="1" applyAlignment="1">
      <alignment horizontal="center" vertical="center"/>
    </xf>
    <xf numFmtId="0" fontId="37" fillId="0" borderId="0" xfId="0" applyFont="1" applyAlignment="1"/>
    <xf numFmtId="0" fontId="39" fillId="0" borderId="0" xfId="0" applyFont="1" applyAlignment="1"/>
    <xf numFmtId="0" fontId="40" fillId="0" borderId="0" xfId="0" applyFont="1" applyFill="1" applyBorder="1" applyAlignment="1">
      <alignment vertical="center"/>
    </xf>
    <xf numFmtId="0" fontId="40" fillId="0" borderId="0" xfId="0" applyFont="1" applyFill="1" applyBorder="1" applyAlignment="1">
      <alignment horizontal="right" vertical="center"/>
    </xf>
    <xf numFmtId="0" fontId="40" fillId="0" borderId="1" xfId="0" applyFont="1" applyFill="1" applyBorder="1" applyAlignment="1">
      <alignment vertical="center"/>
    </xf>
    <xf numFmtId="166" fontId="40" fillId="0" borderId="1" xfId="0" applyNumberFormat="1" applyFont="1" applyFill="1" applyBorder="1" applyAlignment="1">
      <alignment vertical="center"/>
    </xf>
    <xf numFmtId="166" fontId="40" fillId="0" borderId="0" xfId="0" applyNumberFormat="1" applyFont="1" applyFill="1" applyBorder="1" applyAlignment="1">
      <alignment vertical="center"/>
    </xf>
    <xf numFmtId="166" fontId="2" fillId="0" borderId="0" xfId="0" applyNumberFormat="1" applyFont="1" applyFill="1" applyBorder="1" applyAlignment="1">
      <alignment horizontal="center" vertical="center"/>
    </xf>
    <xf numFmtId="166" fontId="3" fillId="0" borderId="0" xfId="0" applyNumberFormat="1" applyFont="1" applyFill="1" applyBorder="1" applyAlignment="1">
      <alignment horizontal="center" vertical="center" wrapText="1"/>
    </xf>
    <xf numFmtId="1" fontId="7" fillId="0" borderId="26" xfId="0" applyNumberFormat="1" applyFont="1" applyFill="1" applyBorder="1" applyAlignment="1">
      <alignment horizontal="right" vertical="center"/>
    </xf>
    <xf numFmtId="0" fontId="7" fillId="0" borderId="27" xfId="0" applyFont="1" applyFill="1" applyBorder="1" applyAlignment="1">
      <alignment vertical="center"/>
    </xf>
    <xf numFmtId="1" fontId="7" fillId="0" borderId="28" xfId="0" applyNumberFormat="1" applyFont="1" applyFill="1" applyBorder="1" applyAlignment="1">
      <alignment horizontal="right" vertical="center"/>
    </xf>
    <xf numFmtId="0" fontId="7" fillId="0" borderId="2" xfId="0" applyFont="1" applyFill="1" applyBorder="1" applyAlignment="1">
      <alignment vertical="center"/>
    </xf>
    <xf numFmtId="1" fontId="7" fillId="0" borderId="31" xfId="0" applyNumberFormat="1" applyFont="1" applyFill="1" applyBorder="1" applyAlignment="1">
      <alignment horizontal="right" vertical="center"/>
    </xf>
    <xf numFmtId="0" fontId="7" fillId="0" borderId="34" xfId="0" applyFont="1" applyFill="1" applyBorder="1" applyAlignment="1">
      <alignment vertical="center"/>
    </xf>
    <xf numFmtId="0" fontId="15" fillId="0" borderId="39" xfId="0" applyFont="1" applyFill="1" applyBorder="1" applyAlignment="1">
      <alignment horizontal="left" vertical="center"/>
    </xf>
    <xf numFmtId="0" fontId="15" fillId="0" borderId="32" xfId="0" applyFont="1" applyFill="1" applyBorder="1" applyAlignment="1">
      <alignment horizontal="center" vertical="center"/>
    </xf>
    <xf numFmtId="0" fontId="14" fillId="0" borderId="0" xfId="0" applyFont="1" applyBorder="1" applyAlignment="1">
      <alignment vertical="top"/>
    </xf>
    <xf numFmtId="0" fontId="41" fillId="0" borderId="0" xfId="0" applyFont="1" applyFill="1" applyBorder="1" applyAlignment="1">
      <alignment horizontal="right" vertical="center"/>
    </xf>
    <xf numFmtId="166" fontId="2" fillId="0" borderId="0" xfId="0" applyNumberFormat="1" applyFont="1" applyFill="1" applyBorder="1" applyAlignment="1">
      <alignment vertical="center"/>
    </xf>
    <xf numFmtId="166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166" fontId="4" fillId="0" borderId="0" xfId="0" applyNumberFormat="1" applyFont="1" applyFill="1" applyAlignment="1">
      <alignment vertical="center"/>
    </xf>
    <xf numFmtId="166" fontId="4" fillId="0" borderId="0" xfId="0" applyNumberFormat="1" applyFont="1" applyFill="1" applyAlignment="1">
      <alignment horizontal="right" vertical="center"/>
    </xf>
    <xf numFmtId="166" fontId="4" fillId="0" borderId="0" xfId="0" applyNumberFormat="1" applyFont="1" applyFill="1" applyAlignment="1">
      <alignment horizontal="center" vertical="center"/>
    </xf>
    <xf numFmtId="0" fontId="24" fillId="0" borderId="0" xfId="0" applyFont="1" applyFill="1" applyBorder="1" applyAlignment="1">
      <alignment horizontal="left" vertical="center"/>
    </xf>
    <xf numFmtId="0" fontId="24" fillId="0" borderId="0" xfId="0" applyFont="1" applyFill="1" applyAlignment="1">
      <alignment vertical="center"/>
    </xf>
    <xf numFmtId="0" fontId="24" fillId="0" borderId="0" xfId="0" applyFont="1" applyFill="1" applyAlignment="1">
      <alignment horizontal="left" vertical="center"/>
    </xf>
    <xf numFmtId="0" fontId="24" fillId="0" borderId="0" xfId="0" applyFont="1" applyFill="1" applyBorder="1" applyAlignment="1">
      <alignment horizontal="center" vertical="center"/>
    </xf>
    <xf numFmtId="166" fontId="24" fillId="0" borderId="0" xfId="0" applyNumberFormat="1" applyFont="1" applyFill="1" applyAlignment="1">
      <alignment vertical="center"/>
    </xf>
    <xf numFmtId="166" fontId="24" fillId="0" borderId="0" xfId="0" applyNumberFormat="1" applyFont="1" applyFill="1" applyAlignment="1">
      <alignment horizontal="right" vertical="center"/>
    </xf>
    <xf numFmtId="166" fontId="24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vertical="center"/>
    </xf>
    <xf numFmtId="0" fontId="44" fillId="0" borderId="0" xfId="0" applyFont="1" applyFill="1" applyBorder="1" applyAlignment="1">
      <alignment horizontal="center" vertical="center"/>
    </xf>
    <xf numFmtId="166" fontId="44" fillId="0" borderId="0" xfId="0" applyNumberFormat="1" applyFont="1" applyFill="1" applyAlignment="1">
      <alignment vertical="center"/>
    </xf>
    <xf numFmtId="166" fontId="44" fillId="0" borderId="0" xfId="0" applyNumberFormat="1" applyFont="1" applyFill="1" applyAlignment="1">
      <alignment horizontal="right" vertical="center"/>
    </xf>
    <xf numFmtId="166" fontId="44" fillId="0" borderId="0" xfId="0" applyNumberFormat="1" applyFont="1" applyFill="1" applyAlignment="1">
      <alignment horizontal="center" vertical="center"/>
    </xf>
    <xf numFmtId="166" fontId="7" fillId="0" borderId="0" xfId="0" applyNumberFormat="1" applyFont="1" applyFill="1" applyBorder="1" applyAlignment="1">
      <alignment horizontal="left" vertical="center" wrapText="1"/>
    </xf>
    <xf numFmtId="1" fontId="2" fillId="0" borderId="0" xfId="0" applyNumberFormat="1" applyFont="1" applyFill="1" applyAlignment="1">
      <alignment vertical="center"/>
    </xf>
    <xf numFmtId="1" fontId="2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47" fillId="0" borderId="0" xfId="0" applyFont="1" applyAlignment="1">
      <alignment horizontal="center" vertical="center"/>
    </xf>
    <xf numFmtId="1" fontId="40" fillId="0" borderId="0" xfId="0" applyNumberFormat="1" applyFont="1" applyFill="1" applyBorder="1" applyAlignment="1">
      <alignment vertical="center"/>
    </xf>
    <xf numFmtId="166" fontId="45" fillId="0" borderId="0" xfId="0" applyNumberFormat="1" applyFont="1" applyFill="1" applyBorder="1" applyAlignment="1">
      <alignment vertical="center"/>
    </xf>
    <xf numFmtId="0" fontId="15" fillId="0" borderId="0" xfId="0" applyFont="1"/>
    <xf numFmtId="0" fontId="29" fillId="0" borderId="0" xfId="0" applyFont="1"/>
    <xf numFmtId="0" fontId="28" fillId="0" borderId="0" xfId="0" applyFont="1"/>
    <xf numFmtId="170" fontId="15" fillId="0" borderId="0" xfId="0" applyNumberFormat="1" applyFont="1"/>
    <xf numFmtId="0" fontId="15" fillId="0" borderId="0" xfId="0" applyFont="1" applyFill="1"/>
    <xf numFmtId="0" fontId="15" fillId="0" borderId="0" xfId="0" applyFont="1" applyFill="1" applyAlignment="1">
      <alignment horizontal="center"/>
    </xf>
    <xf numFmtId="0" fontId="25" fillId="4" borderId="0" xfId="0" applyFont="1" applyFill="1"/>
    <xf numFmtId="0" fontId="29" fillId="4" borderId="0" xfId="0" applyFont="1" applyFill="1"/>
    <xf numFmtId="0" fontId="15" fillId="4" borderId="0" xfId="0" applyFont="1" applyFill="1"/>
    <xf numFmtId="1" fontId="50" fillId="4" borderId="0" xfId="0" applyNumberFormat="1" applyFont="1" applyFill="1" applyAlignment="1">
      <alignment horizontal="right"/>
    </xf>
    <xf numFmtId="0" fontId="39" fillId="4" borderId="0" xfId="0" applyFont="1" applyFill="1"/>
    <xf numFmtId="49" fontId="13" fillId="0" borderId="0" xfId="0" applyNumberFormat="1" applyFont="1" applyBorder="1" applyAlignment="1">
      <alignment horizontal="center" vertical="center" wrapText="1"/>
    </xf>
    <xf numFmtId="166" fontId="13" fillId="0" borderId="0" xfId="0" applyNumberFormat="1" applyFont="1" applyFill="1" applyBorder="1" applyAlignment="1">
      <alignment horizontal="right" vertical="center" wrapText="1"/>
    </xf>
    <xf numFmtId="166" fontId="13" fillId="0" borderId="0" xfId="0" applyNumberFormat="1" applyFont="1" applyBorder="1" applyAlignment="1">
      <alignment horizontal="right" vertical="center" wrapText="1"/>
    </xf>
    <xf numFmtId="166" fontId="13" fillId="5" borderId="0" xfId="0" applyNumberFormat="1" applyFont="1" applyFill="1" applyBorder="1" applyAlignment="1">
      <alignment horizontal="right" vertical="center" wrapText="1"/>
    </xf>
    <xf numFmtId="0" fontId="28" fillId="0" borderId="0" xfId="0" applyFont="1" applyAlignment="1">
      <alignment horizontal="left"/>
    </xf>
    <xf numFmtId="2" fontId="19" fillId="0" borderId="61" xfId="0" applyNumberFormat="1" applyFont="1" applyBorder="1" applyAlignment="1">
      <alignment horizontal="center" vertical="top" wrapText="1"/>
    </xf>
    <xf numFmtId="2" fontId="48" fillId="0" borderId="36" xfId="0" applyNumberFormat="1" applyFont="1" applyBorder="1" applyAlignment="1">
      <alignment horizontal="distributed" vertical="top" wrapText="1" indent="1"/>
    </xf>
    <xf numFmtId="2" fontId="19" fillId="2" borderId="61" xfId="0" applyNumberFormat="1" applyFont="1" applyFill="1" applyBorder="1" applyAlignment="1">
      <alignment horizontal="center"/>
    </xf>
    <xf numFmtId="2" fontId="19" fillId="2" borderId="61" xfId="0" applyNumberFormat="1" applyFont="1" applyFill="1" applyBorder="1" applyAlignment="1">
      <alignment horizontal="center" vertical="top" wrapText="1"/>
    </xf>
    <xf numFmtId="2" fontId="48" fillId="2" borderId="36" xfId="0" applyNumberFormat="1" applyFont="1" applyFill="1" applyBorder="1" applyAlignment="1">
      <alignment horizontal="distributed" vertical="top" wrapText="1" indent="1"/>
    </xf>
    <xf numFmtId="2" fontId="53" fillId="0" borderId="62" xfId="0" applyNumberFormat="1" applyFont="1" applyBorder="1" applyAlignment="1">
      <alignment horizontal="center" vertical="top" wrapText="1"/>
    </xf>
    <xf numFmtId="2" fontId="56" fillId="2" borderId="61" xfId="0" applyNumberFormat="1" applyFont="1" applyFill="1" applyBorder="1" applyAlignment="1">
      <alignment horizontal="center" vertical="top" wrapText="1"/>
    </xf>
    <xf numFmtId="2" fontId="56" fillId="0" borderId="61" xfId="0" applyNumberFormat="1" applyFont="1" applyBorder="1" applyAlignment="1">
      <alignment horizontal="center" vertical="top" wrapText="1"/>
    </xf>
    <xf numFmtId="2" fontId="56" fillId="2" borderId="63" xfId="0" applyNumberFormat="1" applyFont="1" applyFill="1" applyBorder="1" applyAlignment="1">
      <alignment horizontal="center" vertical="top" wrapText="1"/>
    </xf>
    <xf numFmtId="2" fontId="48" fillId="2" borderId="64" xfId="0" applyNumberFormat="1" applyFont="1" applyFill="1" applyBorder="1" applyAlignment="1">
      <alignment horizontal="distributed" vertical="top" wrapText="1" indent="1"/>
    </xf>
    <xf numFmtId="2" fontId="48" fillId="0" borderId="64" xfId="0" applyNumberFormat="1" applyFont="1" applyBorder="1" applyAlignment="1">
      <alignment horizontal="distributed" vertical="top" wrapText="1" indent="1"/>
    </xf>
    <xf numFmtId="2" fontId="19" fillId="0" borderId="63" xfId="0" applyNumberFormat="1" applyFont="1" applyBorder="1" applyAlignment="1">
      <alignment horizontal="center" vertical="top" wrapText="1"/>
    </xf>
    <xf numFmtId="2" fontId="19" fillId="2" borderId="63" xfId="0" applyNumberFormat="1" applyFont="1" applyFill="1" applyBorder="1" applyAlignment="1">
      <alignment horizontal="center" vertical="top" wrapText="1"/>
    </xf>
    <xf numFmtId="2" fontId="48" fillId="2" borderId="61" xfId="0" applyNumberFormat="1" applyFont="1" applyFill="1" applyBorder="1" applyAlignment="1">
      <alignment horizontal="distributed" vertical="top" wrapText="1" indent="1"/>
    </xf>
    <xf numFmtId="0" fontId="19" fillId="0" borderId="0" xfId="0" applyFont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indent="2"/>
    </xf>
    <xf numFmtId="0" fontId="20" fillId="0" borderId="0" xfId="0" applyFont="1" applyFill="1" applyAlignment="1">
      <alignment horizontal="left" vertical="center"/>
    </xf>
    <xf numFmtId="0" fontId="20" fillId="0" borderId="0" xfId="0" applyFont="1" applyFill="1" applyAlignment="1">
      <alignment vertical="center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right" vertical="center"/>
    </xf>
    <xf numFmtId="0" fontId="57" fillId="0" borderId="0" xfId="0" applyFont="1" applyFill="1" applyAlignment="1">
      <alignment vertical="center"/>
    </xf>
    <xf numFmtId="0" fontId="34" fillId="0" borderId="5" xfId="0" applyFont="1" applyFill="1" applyBorder="1" applyAlignment="1">
      <alignment horizontal="right" vertical="center"/>
    </xf>
    <xf numFmtId="0" fontId="40" fillId="0" borderId="4" xfId="0" applyFont="1" applyFill="1" applyBorder="1" applyAlignment="1">
      <alignment vertical="center"/>
    </xf>
    <xf numFmtId="0" fontId="59" fillId="0" borderId="0" xfId="0" applyFont="1" applyFill="1" applyAlignment="1">
      <alignment vertical="center"/>
    </xf>
    <xf numFmtId="0" fontId="59" fillId="0" borderId="0" xfId="0" applyFont="1" applyFill="1" applyBorder="1" applyAlignment="1">
      <alignment horizontal="center" vertical="center"/>
    </xf>
    <xf numFmtId="0" fontId="40" fillId="0" borderId="0" xfId="0" applyFont="1" applyFill="1" applyAlignment="1">
      <alignment vertical="center"/>
    </xf>
    <xf numFmtId="2" fontId="59" fillId="0" borderId="0" xfId="0" applyNumberFormat="1" applyFont="1" applyFill="1" applyAlignment="1">
      <alignment horizontal="right" vertical="center"/>
    </xf>
    <xf numFmtId="0" fontId="21" fillId="0" borderId="0" xfId="0" applyFont="1" applyFill="1" applyAlignment="1">
      <alignment horizontal="right" vertical="center"/>
    </xf>
    <xf numFmtId="0" fontId="21" fillId="0" borderId="0" xfId="0" applyFont="1" applyFill="1" applyAlignment="1">
      <alignment vertical="center"/>
    </xf>
    <xf numFmtId="1" fontId="3" fillId="0" borderId="4" xfId="0" applyNumberFormat="1" applyFont="1" applyFill="1" applyBorder="1" applyAlignment="1">
      <alignment horizontal="center" vertical="center"/>
    </xf>
    <xf numFmtId="1" fontId="3" fillId="0" borderId="40" xfId="0" applyNumberFormat="1" applyFont="1" applyFill="1" applyBorder="1" applyAlignment="1">
      <alignment horizontal="center" vertical="center"/>
    </xf>
    <xf numFmtId="1" fontId="48" fillId="0" borderId="0" xfId="0" applyNumberFormat="1" applyFont="1" applyFill="1" applyBorder="1" applyAlignment="1">
      <alignment horizontal="center" vertical="center"/>
    </xf>
    <xf numFmtId="166" fontId="4" fillId="0" borderId="0" xfId="0" applyNumberFormat="1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horizontal="center" vertical="center"/>
    </xf>
    <xf numFmtId="166" fontId="3" fillId="0" borderId="39" xfId="0" applyNumberFormat="1" applyFont="1" applyFill="1" applyBorder="1" applyAlignment="1">
      <alignment vertical="center"/>
    </xf>
    <xf numFmtId="166" fontId="3" fillId="0" borderId="4" xfId="0" applyNumberFormat="1" applyFont="1" applyFill="1" applyBorder="1" applyAlignment="1">
      <alignment vertical="center"/>
    </xf>
    <xf numFmtId="166" fontId="3" fillId="0" borderId="40" xfId="0" applyNumberFormat="1" applyFont="1" applyFill="1" applyBorder="1" applyAlignment="1">
      <alignment vertical="center"/>
    </xf>
    <xf numFmtId="1" fontId="3" fillId="0" borderId="29" xfId="0" applyNumberFormat="1" applyFont="1" applyFill="1" applyBorder="1" applyAlignment="1">
      <alignment horizontal="center" vertical="center"/>
    </xf>
    <xf numFmtId="1" fontId="3" fillId="0" borderId="33" xfId="0" applyNumberFormat="1" applyFont="1" applyFill="1" applyBorder="1" applyAlignment="1">
      <alignment horizontal="center" vertical="center"/>
    </xf>
    <xf numFmtId="1" fontId="3" fillId="0" borderId="16" xfId="0" applyNumberFormat="1" applyFont="1" applyFill="1" applyBorder="1" applyAlignment="1">
      <alignment horizontal="center" vertical="center"/>
    </xf>
    <xf numFmtId="1" fontId="3" fillId="0" borderId="48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1" fontId="13" fillId="0" borderId="0" xfId="0" applyNumberFormat="1" applyFont="1" applyFill="1" applyBorder="1" applyAlignment="1">
      <alignment horizontal="center"/>
    </xf>
    <xf numFmtId="166" fontId="3" fillId="0" borderId="27" xfId="0" applyNumberFormat="1" applyFont="1" applyFill="1" applyBorder="1" applyAlignment="1">
      <alignment vertical="center"/>
    </xf>
    <xf numFmtId="166" fontId="3" fillId="0" borderId="2" xfId="0" applyNumberFormat="1" applyFont="1" applyFill="1" applyBorder="1" applyAlignment="1">
      <alignment vertical="center"/>
    </xf>
    <xf numFmtId="166" fontId="3" fillId="0" borderId="34" xfId="0" applyNumberFormat="1" applyFont="1" applyFill="1" applyBorder="1" applyAlignment="1">
      <alignment vertical="center"/>
    </xf>
    <xf numFmtId="166" fontId="3" fillId="0" borderId="29" xfId="0" applyNumberFormat="1" applyFont="1" applyFill="1" applyBorder="1" applyAlignment="1">
      <alignment vertical="center"/>
    </xf>
    <xf numFmtId="166" fontId="3" fillId="0" borderId="33" xfId="0" applyNumberFormat="1" applyFont="1" applyFill="1" applyBorder="1" applyAlignment="1">
      <alignment vertical="center"/>
    </xf>
    <xf numFmtId="166" fontId="3" fillId="0" borderId="48" xfId="0" applyNumberFormat="1" applyFont="1" applyFill="1" applyBorder="1" applyAlignment="1">
      <alignment vertical="center"/>
    </xf>
    <xf numFmtId="1" fontId="7" fillId="0" borderId="16" xfId="0" applyNumberFormat="1" applyFont="1" applyFill="1" applyBorder="1" applyAlignment="1">
      <alignment horizontal="center" vertical="center"/>
    </xf>
    <xf numFmtId="1" fontId="7" fillId="0" borderId="29" xfId="0" applyNumberFormat="1" applyFont="1" applyFill="1" applyBorder="1" applyAlignment="1">
      <alignment horizontal="center" vertical="center"/>
    </xf>
    <xf numFmtId="1" fontId="7" fillId="0" borderId="33" xfId="0" applyNumberFormat="1" applyFont="1" applyFill="1" applyBorder="1" applyAlignment="1">
      <alignment horizontal="center" vertical="center"/>
    </xf>
    <xf numFmtId="1" fontId="19" fillId="0" borderId="0" xfId="0" applyNumberFormat="1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left" vertical="center"/>
    </xf>
    <xf numFmtId="0" fontId="59" fillId="0" borderId="0" xfId="0" applyFont="1" applyFill="1" applyAlignment="1">
      <alignment horizontal="center" vertical="center"/>
    </xf>
    <xf numFmtId="166" fontId="59" fillId="0" borderId="0" xfId="0" applyNumberFormat="1" applyFont="1" applyFill="1" applyAlignment="1">
      <alignment vertical="center"/>
    </xf>
    <xf numFmtId="166" fontId="59" fillId="0" borderId="0" xfId="0" applyNumberFormat="1" applyFont="1" applyFill="1" applyAlignment="1">
      <alignment horizontal="right" vertical="center"/>
    </xf>
    <xf numFmtId="166" fontId="59" fillId="0" borderId="0" xfId="0" applyNumberFormat="1" applyFont="1" applyFill="1" applyAlignment="1">
      <alignment horizontal="center" vertical="center"/>
    </xf>
    <xf numFmtId="1" fontId="61" fillId="0" borderId="0" xfId="0" applyNumberFormat="1" applyFont="1" applyFill="1" applyAlignment="1">
      <alignment vertical="center"/>
    </xf>
    <xf numFmtId="166" fontId="59" fillId="0" borderId="0" xfId="0" applyNumberFormat="1" applyFont="1" applyFill="1" applyBorder="1" applyAlignment="1">
      <alignment horizontal="left" vertical="center" wrapText="1"/>
    </xf>
    <xf numFmtId="0" fontId="70" fillId="0" borderId="0" xfId="0" applyFont="1" applyFill="1" applyAlignment="1">
      <alignment vertical="center"/>
    </xf>
    <xf numFmtId="0" fontId="59" fillId="0" borderId="0" xfId="0" applyFont="1" applyFill="1" applyBorder="1" applyAlignment="1">
      <alignment horizontal="center" vertical="center" wrapText="1"/>
    </xf>
    <xf numFmtId="0" fontId="61" fillId="0" borderId="0" xfId="0" applyFont="1" applyFill="1" applyBorder="1" applyAlignment="1">
      <alignment horizontal="left" vertical="center" wrapText="1"/>
    </xf>
    <xf numFmtId="166" fontId="29" fillId="0" borderId="0" xfId="0" applyNumberFormat="1" applyFont="1" applyFill="1" applyBorder="1" applyAlignment="1">
      <alignment horizontal="center" vertical="center"/>
    </xf>
    <xf numFmtId="166" fontId="29" fillId="0" borderId="0" xfId="0" applyNumberFormat="1" applyFont="1" applyFill="1" applyBorder="1" applyAlignment="1">
      <alignment horizontal="left" vertical="center"/>
    </xf>
    <xf numFmtId="0" fontId="56" fillId="0" borderId="0" xfId="0" applyFont="1" applyAlignment="1">
      <alignment vertical="center"/>
    </xf>
    <xf numFmtId="166" fontId="24" fillId="0" borderId="0" xfId="0" applyNumberFormat="1" applyFont="1" applyFill="1" applyBorder="1" applyAlignment="1">
      <alignment horizontal="left" vertical="center" wrapText="1"/>
    </xf>
    <xf numFmtId="0" fontId="49" fillId="0" borderId="0" xfId="0" applyFont="1" applyFill="1" applyAlignment="1">
      <alignment vertical="center"/>
    </xf>
    <xf numFmtId="166" fontId="67" fillId="0" borderId="0" xfId="0" applyNumberFormat="1" applyFont="1" applyFill="1" applyBorder="1" applyAlignment="1">
      <alignment vertical="center"/>
    </xf>
    <xf numFmtId="0" fontId="19" fillId="0" borderId="32" xfId="0" applyFont="1" applyBorder="1" applyAlignment="1">
      <alignment horizontal="center" vertical="center"/>
    </xf>
    <xf numFmtId="0" fontId="2" fillId="7" borderId="0" xfId="0" applyFont="1" applyFill="1" applyBorder="1" applyAlignment="1">
      <alignment horizontal="right" vertical="center"/>
    </xf>
    <xf numFmtId="0" fontId="44" fillId="7" borderId="0" xfId="0" applyFont="1" applyFill="1" applyBorder="1" applyAlignment="1">
      <alignment vertical="center"/>
    </xf>
    <xf numFmtId="0" fontId="40" fillId="7" borderId="0" xfId="0" applyFont="1" applyFill="1" applyBorder="1" applyAlignment="1">
      <alignment vertical="center"/>
    </xf>
    <xf numFmtId="0" fontId="40" fillId="7" borderId="0" xfId="0" applyFont="1" applyFill="1" applyBorder="1" applyAlignment="1">
      <alignment horizontal="left" vertical="center"/>
    </xf>
    <xf numFmtId="1" fontId="43" fillId="7" borderId="5" xfId="0" applyNumberFormat="1" applyFont="1" applyFill="1" applyBorder="1" applyAlignment="1">
      <alignment horizontal="center" vertical="center"/>
    </xf>
    <xf numFmtId="1" fontId="43" fillId="7" borderId="0" xfId="0" applyNumberFormat="1" applyFont="1" applyFill="1" applyBorder="1" applyAlignment="1">
      <alignment horizontal="center" vertical="center"/>
    </xf>
    <xf numFmtId="1" fontId="43" fillId="7" borderId="9" xfId="0" applyNumberFormat="1" applyFont="1" applyFill="1" applyBorder="1" applyAlignment="1">
      <alignment horizontal="center" vertical="center"/>
    </xf>
    <xf numFmtId="166" fontId="2" fillId="7" borderId="0" xfId="0" applyNumberFormat="1" applyFont="1" applyFill="1" applyAlignment="1">
      <alignment horizontal="right" vertical="center"/>
    </xf>
    <xf numFmtId="166" fontId="2" fillId="7" borderId="5" xfId="0" applyNumberFormat="1" applyFont="1" applyFill="1" applyBorder="1" applyAlignment="1">
      <alignment horizontal="left" vertical="center"/>
    </xf>
    <xf numFmtId="166" fontId="2" fillId="7" borderId="5" xfId="0" applyNumberFormat="1" applyFont="1" applyFill="1" applyBorder="1" applyAlignment="1">
      <alignment horizontal="right" vertical="center"/>
    </xf>
    <xf numFmtId="0" fontId="3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7" fillId="0" borderId="0" xfId="0" applyFont="1" applyAlignment="1">
      <alignment vertical="center"/>
    </xf>
    <xf numFmtId="0" fontId="37" fillId="0" borderId="0" xfId="0" applyFont="1" applyAlignment="1">
      <alignment horizontal="right" vertical="center"/>
    </xf>
    <xf numFmtId="0" fontId="38" fillId="0" borderId="0" xfId="0" applyFont="1" applyAlignment="1">
      <alignment vertical="center"/>
    </xf>
    <xf numFmtId="166" fontId="37" fillId="0" borderId="0" xfId="0" applyNumberFormat="1" applyFont="1" applyAlignment="1">
      <alignment vertical="center"/>
    </xf>
    <xf numFmtId="0" fontId="39" fillId="0" borderId="0" xfId="0" applyFont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1" fontId="37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4" fillId="7" borderId="0" xfId="0" applyFont="1" applyFill="1" applyBorder="1" applyAlignment="1">
      <alignment horizontal="left" vertical="center"/>
    </xf>
    <xf numFmtId="0" fontId="0" fillId="7" borderId="0" xfId="0" applyFill="1" applyAlignment="1">
      <alignment vertical="center"/>
    </xf>
    <xf numFmtId="1" fontId="42" fillId="7" borderId="0" xfId="0" applyNumberFormat="1" applyFont="1" applyFill="1" applyBorder="1" applyAlignment="1">
      <alignment horizontal="center" vertical="center"/>
    </xf>
    <xf numFmtId="0" fontId="19" fillId="0" borderId="39" xfId="0" applyFont="1" applyBorder="1" applyAlignment="1">
      <alignment vertical="center"/>
    </xf>
    <xf numFmtId="1" fontId="19" fillId="0" borderId="27" xfId="0" applyNumberFormat="1" applyFont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1" fontId="19" fillId="0" borderId="26" xfId="0" applyNumberFormat="1" applyFont="1" applyFill="1" applyBorder="1" applyAlignment="1">
      <alignment horizontal="center" vertical="center"/>
    </xf>
    <xf numFmtId="166" fontId="33" fillId="0" borderId="26" xfId="0" applyNumberFormat="1" applyFont="1" applyFill="1" applyBorder="1" applyAlignment="1">
      <alignment horizontal="center" vertical="center"/>
    </xf>
    <xf numFmtId="166" fontId="33" fillId="0" borderId="14" xfId="0" applyNumberFormat="1" applyFont="1" applyFill="1" applyBorder="1" applyAlignment="1">
      <alignment horizontal="center" vertical="center"/>
    </xf>
    <xf numFmtId="166" fontId="33" fillId="0" borderId="16" xfId="0" applyNumberFormat="1" applyFont="1" applyFill="1" applyBorder="1" applyAlignment="1">
      <alignment horizontal="center" vertical="center"/>
    </xf>
    <xf numFmtId="166" fontId="33" fillId="0" borderId="27" xfId="0" applyNumberFormat="1" applyFont="1" applyFill="1" applyBorder="1" applyAlignment="1">
      <alignment horizontal="center" vertical="center"/>
    </xf>
    <xf numFmtId="166" fontId="33" fillId="0" borderId="16" xfId="0" applyNumberFormat="1" applyFont="1" applyFill="1" applyBorder="1" applyAlignment="1">
      <alignment horizontal="center" vertical="center" wrapText="1"/>
    </xf>
    <xf numFmtId="166" fontId="33" fillId="0" borderId="39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 vertical="center"/>
    </xf>
    <xf numFmtId="0" fontId="19" fillId="0" borderId="4" xfId="0" applyFont="1" applyBorder="1" applyAlignment="1">
      <alignment vertical="center"/>
    </xf>
    <xf numFmtId="1" fontId="19" fillId="0" borderId="2" xfId="0" applyNumberFormat="1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5" xfId="0" applyFont="1" applyBorder="1" applyAlignment="1">
      <alignment horizontal="left" vertical="center"/>
    </xf>
    <xf numFmtId="0" fontId="19" fillId="0" borderId="5" xfId="0" applyFont="1" applyFill="1" applyBorder="1" applyAlignment="1">
      <alignment horizontal="center" vertical="center"/>
    </xf>
    <xf numFmtId="1" fontId="19" fillId="0" borderId="28" xfId="0" applyNumberFormat="1" applyFont="1" applyFill="1" applyBorder="1" applyAlignment="1">
      <alignment horizontal="center" vertical="center"/>
    </xf>
    <xf numFmtId="166" fontId="33" fillId="0" borderId="28" xfId="0" applyNumberFormat="1" applyFont="1" applyFill="1" applyBorder="1" applyAlignment="1">
      <alignment horizontal="center" vertical="center"/>
    </xf>
    <xf numFmtId="166" fontId="33" fillId="0" borderId="5" xfId="0" applyNumberFormat="1" applyFont="1" applyFill="1" applyBorder="1" applyAlignment="1">
      <alignment horizontal="center" vertical="center"/>
    </xf>
    <xf numFmtId="166" fontId="33" fillId="0" borderId="29" xfId="0" applyNumberFormat="1" applyFont="1" applyFill="1" applyBorder="1" applyAlignment="1">
      <alignment horizontal="center" vertical="center"/>
    </xf>
    <xf numFmtId="166" fontId="33" fillId="0" borderId="2" xfId="0" applyNumberFormat="1" applyFont="1" applyFill="1" applyBorder="1" applyAlignment="1">
      <alignment horizontal="center" vertical="center"/>
    </xf>
    <xf numFmtId="166" fontId="16" fillId="0" borderId="5" xfId="0" applyNumberFormat="1" applyFont="1" applyFill="1" applyBorder="1" applyAlignment="1">
      <alignment horizontal="center" vertical="center"/>
    </xf>
    <xf numFmtId="166" fontId="16" fillId="0" borderId="29" xfId="0" applyNumberFormat="1" applyFont="1" applyFill="1" applyBorder="1" applyAlignment="1">
      <alignment horizontal="center" vertical="center"/>
    </xf>
    <xf numFmtId="166" fontId="33" fillId="0" borderId="29" xfId="0" applyNumberFormat="1" applyFont="1" applyFill="1" applyBorder="1" applyAlignment="1">
      <alignment horizontal="center" vertical="center" wrapText="1"/>
    </xf>
    <xf numFmtId="166" fontId="33" fillId="0" borderId="4" xfId="0" applyNumberFormat="1" applyFont="1" applyFill="1" applyBorder="1" applyAlignment="1">
      <alignment horizontal="center" vertical="center"/>
    </xf>
    <xf numFmtId="0" fontId="19" fillId="0" borderId="40" xfId="0" applyFont="1" applyBorder="1" applyAlignment="1">
      <alignment vertical="center"/>
    </xf>
    <xf numFmtId="1" fontId="19" fillId="0" borderId="34" xfId="0" applyNumberFormat="1" applyFont="1" applyBorder="1" applyAlignment="1">
      <alignment horizontal="center" vertical="center"/>
    </xf>
    <xf numFmtId="0" fontId="19" fillId="0" borderId="32" xfId="0" applyFont="1" applyBorder="1" applyAlignment="1">
      <alignment horizontal="left" vertical="center"/>
    </xf>
    <xf numFmtId="0" fontId="19" fillId="0" borderId="32" xfId="0" applyFont="1" applyFill="1" applyBorder="1" applyAlignment="1">
      <alignment horizontal="center" vertical="center"/>
    </xf>
    <xf numFmtId="1" fontId="19" fillId="0" borderId="31" xfId="0" applyNumberFormat="1" applyFont="1" applyFill="1" applyBorder="1" applyAlignment="1">
      <alignment horizontal="center" vertical="center"/>
    </xf>
    <xf numFmtId="166" fontId="33" fillId="0" borderId="31" xfId="0" applyNumberFormat="1" applyFont="1" applyFill="1" applyBorder="1" applyAlignment="1">
      <alignment horizontal="center" vertical="center"/>
    </xf>
    <xf numFmtId="166" fontId="33" fillId="0" borderId="32" xfId="0" applyNumberFormat="1" applyFont="1" applyFill="1" applyBorder="1" applyAlignment="1">
      <alignment horizontal="center" vertical="center"/>
    </xf>
    <xf numFmtId="166" fontId="33" fillId="0" borderId="33" xfId="0" applyNumberFormat="1" applyFont="1" applyFill="1" applyBorder="1" applyAlignment="1">
      <alignment horizontal="center" vertical="center"/>
    </xf>
    <xf numFmtId="166" fontId="33" fillId="0" borderId="34" xfId="0" applyNumberFormat="1" applyFont="1" applyFill="1" applyBorder="1" applyAlignment="1">
      <alignment horizontal="center" vertical="center"/>
    </xf>
    <xf numFmtId="166" fontId="16" fillId="0" borderId="32" xfId="0" applyNumberFormat="1" applyFont="1" applyFill="1" applyBorder="1" applyAlignment="1">
      <alignment horizontal="center" vertical="center"/>
    </xf>
    <xf numFmtId="166" fontId="16" fillId="0" borderId="33" xfId="0" applyNumberFormat="1" applyFont="1" applyFill="1" applyBorder="1" applyAlignment="1">
      <alignment horizontal="center" vertical="center"/>
    </xf>
    <xf numFmtId="166" fontId="33" fillId="0" borderId="40" xfId="0" applyNumberFormat="1" applyFont="1" applyFill="1" applyBorder="1" applyAlignment="1">
      <alignment horizontal="center" vertical="center"/>
    </xf>
    <xf numFmtId="166" fontId="33" fillId="0" borderId="47" xfId="0" applyNumberFormat="1" applyFont="1" applyFill="1" applyBorder="1" applyAlignment="1">
      <alignment horizontal="center" vertical="center"/>
    </xf>
    <xf numFmtId="166" fontId="33" fillId="0" borderId="12" xfId="0" applyNumberFormat="1" applyFont="1" applyFill="1" applyBorder="1" applyAlignment="1">
      <alignment horizontal="center" vertical="center"/>
    </xf>
    <xf numFmtId="166" fontId="33" fillId="0" borderId="48" xfId="0" applyNumberFormat="1" applyFont="1" applyFill="1" applyBorder="1" applyAlignment="1">
      <alignment horizontal="center" vertical="center"/>
    </xf>
    <xf numFmtId="166" fontId="33" fillId="0" borderId="11" xfId="0" applyNumberFormat="1" applyFont="1" applyFill="1" applyBorder="1" applyAlignment="1">
      <alignment horizontal="center" vertical="center"/>
    </xf>
    <xf numFmtId="0" fontId="19" fillId="0" borderId="4" xfId="0" applyFont="1" applyBorder="1" applyAlignment="1">
      <alignment horizontal="left" vertical="center"/>
    </xf>
    <xf numFmtId="0" fontId="19" fillId="0" borderId="40" xfId="0" applyFont="1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 wrapText="1"/>
    </xf>
    <xf numFmtId="166" fontId="14" fillId="0" borderId="0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/>
    </xf>
    <xf numFmtId="166" fontId="33" fillId="0" borderId="0" xfId="0" applyNumberFormat="1" applyFont="1" applyFill="1" applyBorder="1" applyAlignment="1">
      <alignment horizontal="center" vertical="center"/>
    </xf>
    <xf numFmtId="0" fontId="69" fillId="0" borderId="0" xfId="0" applyFont="1" applyAlignment="1">
      <alignment vertical="center"/>
    </xf>
    <xf numFmtId="166" fontId="56" fillId="0" borderId="0" xfId="0" applyNumberFormat="1" applyFont="1" applyBorder="1" applyAlignment="1">
      <alignment horizontal="center" vertical="center"/>
    </xf>
    <xf numFmtId="166" fontId="56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56" fillId="7" borderId="9" xfId="0" applyFont="1" applyFill="1" applyBorder="1" applyAlignment="1">
      <alignment horizontal="right" vertical="center"/>
    </xf>
    <xf numFmtId="0" fontId="40" fillId="7" borderId="4" xfId="0" applyFont="1" applyFill="1" applyBorder="1" applyAlignment="1">
      <alignment vertical="center"/>
    </xf>
    <xf numFmtId="0" fontId="40" fillId="7" borderId="2" xfId="0" applyFont="1" applyFill="1" applyBorder="1" applyAlignment="1">
      <alignment vertical="center"/>
    </xf>
    <xf numFmtId="166" fontId="2" fillId="7" borderId="0" xfId="0" applyNumberFormat="1" applyFont="1" applyFill="1" applyBorder="1" applyAlignment="1">
      <alignment horizontal="right" vertical="center"/>
    </xf>
    <xf numFmtId="166" fontId="2" fillId="7" borderId="0" xfId="0" applyNumberFormat="1" applyFont="1" applyFill="1" applyBorder="1" applyAlignment="1">
      <alignment horizontal="left" vertical="center"/>
    </xf>
    <xf numFmtId="0" fontId="2" fillId="7" borderId="49" xfId="0" applyFont="1" applyFill="1" applyBorder="1" applyAlignment="1">
      <alignment horizontal="right" vertical="center"/>
    </xf>
    <xf numFmtId="0" fontId="0" fillId="7" borderId="49" xfId="0" applyFill="1" applyBorder="1" applyAlignment="1">
      <alignment vertical="center"/>
    </xf>
    <xf numFmtId="0" fontId="56" fillId="7" borderId="32" xfId="0" applyFont="1" applyFill="1" applyBorder="1" applyAlignment="1">
      <alignment horizontal="right" vertical="center"/>
    </xf>
    <xf numFmtId="0" fontId="1" fillId="7" borderId="5" xfId="0" applyFont="1" applyFill="1" applyBorder="1" applyAlignment="1">
      <alignment vertical="center"/>
    </xf>
    <xf numFmtId="166" fontId="33" fillId="0" borderId="10" xfId="0" applyNumberFormat="1" applyFont="1" applyFill="1" applyBorder="1" applyAlignment="1">
      <alignment horizontal="center" vertical="center"/>
    </xf>
    <xf numFmtId="166" fontId="3" fillId="0" borderId="26" xfId="0" applyNumberFormat="1" applyFont="1" applyFill="1" applyBorder="1" applyAlignment="1">
      <alignment vertical="center"/>
    </xf>
    <xf numFmtId="166" fontId="3" fillId="0" borderId="28" xfId="0" applyNumberFormat="1" applyFont="1" applyFill="1" applyBorder="1" applyAlignment="1">
      <alignment vertical="center"/>
    </xf>
    <xf numFmtId="166" fontId="33" fillId="0" borderId="31" xfId="0" applyNumberFormat="1" applyFont="1" applyFill="1" applyBorder="1" applyAlignment="1">
      <alignment horizontal="center" vertical="center" wrapText="1"/>
    </xf>
    <xf numFmtId="166" fontId="3" fillId="0" borderId="30" xfId="0" applyNumberFormat="1" applyFont="1" applyFill="1" applyBorder="1" applyAlignment="1">
      <alignment vertical="center"/>
    </xf>
    <xf numFmtId="166" fontId="3" fillId="0" borderId="9" xfId="0" applyNumberFormat="1" applyFont="1" applyFill="1" applyBorder="1" applyAlignment="1">
      <alignment vertical="center"/>
    </xf>
    <xf numFmtId="166" fontId="33" fillId="0" borderId="74" xfId="0" applyNumberFormat="1" applyFont="1" applyFill="1" applyBorder="1" applyAlignment="1">
      <alignment horizontal="center" vertical="center" wrapText="1"/>
    </xf>
    <xf numFmtId="166" fontId="33" fillId="0" borderId="30" xfId="0" applyNumberFormat="1" applyFont="1" applyFill="1" applyBorder="1" applyAlignment="1">
      <alignment horizontal="center" vertical="center"/>
    </xf>
    <xf numFmtId="166" fontId="33" fillId="0" borderId="9" xfId="0" applyNumberFormat="1" applyFont="1" applyFill="1" applyBorder="1" applyAlignment="1">
      <alignment horizontal="center" vertical="center"/>
    </xf>
    <xf numFmtId="1" fontId="3" fillId="0" borderId="74" xfId="0" applyNumberFormat="1" applyFont="1" applyFill="1" applyBorder="1" applyAlignment="1">
      <alignment horizontal="center" vertical="center"/>
    </xf>
    <xf numFmtId="166" fontId="33" fillId="0" borderId="8" xfId="0" applyNumberFormat="1" applyFont="1" applyFill="1" applyBorder="1" applyAlignment="1">
      <alignment horizontal="center" vertical="center"/>
    </xf>
    <xf numFmtId="166" fontId="40" fillId="0" borderId="0" xfId="0" applyNumberFormat="1" applyFont="1" applyFill="1" applyBorder="1" applyAlignment="1">
      <alignment horizontal="right" vertical="center"/>
    </xf>
    <xf numFmtId="1" fontId="37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1" fontId="37" fillId="0" borderId="0" xfId="0" applyNumberFormat="1" applyFont="1" applyFill="1" applyBorder="1" applyAlignment="1">
      <alignment vertical="center"/>
    </xf>
    <xf numFmtId="0" fontId="68" fillId="0" borderId="0" xfId="0" applyFont="1" applyAlignment="1">
      <alignment vertical="center"/>
    </xf>
    <xf numFmtId="166" fontId="3" fillId="7" borderId="5" xfId="0" applyNumberFormat="1" applyFont="1" applyFill="1" applyBorder="1" applyAlignment="1">
      <alignment horizontal="center" vertical="center" wrapText="1"/>
    </xf>
    <xf numFmtId="166" fontId="3" fillId="7" borderId="38" xfId="0" applyNumberFormat="1" applyFont="1" applyFill="1" applyBorder="1" applyAlignment="1">
      <alignment horizontal="center" vertical="center" wrapText="1"/>
    </xf>
    <xf numFmtId="166" fontId="3" fillId="7" borderId="28" xfId="0" applyNumberFormat="1" applyFont="1" applyFill="1" applyBorder="1" applyAlignment="1">
      <alignment horizontal="center" vertical="center" wrapText="1"/>
    </xf>
    <xf numFmtId="166" fontId="3" fillId="7" borderId="29" xfId="0" applyNumberFormat="1" applyFont="1" applyFill="1" applyBorder="1" applyAlignment="1">
      <alignment horizontal="center" vertical="center" wrapText="1"/>
    </xf>
    <xf numFmtId="166" fontId="3" fillId="7" borderId="45" xfId="0" applyNumberFormat="1" applyFont="1" applyFill="1" applyBorder="1" applyAlignment="1">
      <alignment horizontal="center" vertical="center" wrapText="1"/>
    </xf>
    <xf numFmtId="166" fontId="19" fillId="0" borderId="0" xfId="0" applyNumberFormat="1" applyFont="1" applyAlignment="1">
      <alignment vertical="center"/>
    </xf>
    <xf numFmtId="1" fontId="2" fillId="0" borderId="2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166" fontId="49" fillId="0" borderId="0" xfId="0" applyNumberFormat="1" applyFont="1" applyFill="1" applyAlignment="1">
      <alignment horizontal="center" vertical="center"/>
    </xf>
    <xf numFmtId="166" fontId="49" fillId="0" borderId="0" xfId="0" applyNumberFormat="1" applyFont="1" applyFill="1" applyBorder="1" applyAlignment="1">
      <alignment vertical="center"/>
    </xf>
    <xf numFmtId="166" fontId="49" fillId="0" borderId="0" xfId="0" applyNumberFormat="1" applyFont="1" applyFill="1" applyBorder="1" applyAlignment="1">
      <alignment horizontal="center" vertical="center"/>
    </xf>
    <xf numFmtId="1" fontId="71" fillId="0" borderId="0" xfId="0" applyNumberFormat="1" applyFont="1" applyFill="1" applyBorder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64" fillId="0" borderId="0" xfId="0" applyFont="1" applyAlignment="1">
      <alignment vertical="center"/>
    </xf>
    <xf numFmtId="0" fontId="72" fillId="7" borderId="0" xfId="0" applyFont="1" applyFill="1" applyBorder="1" applyAlignment="1">
      <alignment horizontal="left" vertical="center"/>
    </xf>
    <xf numFmtId="0" fontId="72" fillId="7" borderId="0" xfId="0" applyFont="1" applyFill="1" applyAlignment="1">
      <alignment vertical="center"/>
    </xf>
    <xf numFmtId="0" fontId="72" fillId="7" borderId="0" xfId="0" applyFont="1" applyFill="1" applyAlignment="1">
      <alignment horizontal="left" vertical="center"/>
    </xf>
    <xf numFmtId="0" fontId="72" fillId="7" borderId="0" xfId="0" applyFont="1" applyFill="1" applyBorder="1" applyAlignment="1">
      <alignment horizontal="center" vertical="center"/>
    </xf>
    <xf numFmtId="166" fontId="72" fillId="7" borderId="0" xfId="0" applyNumberFormat="1" applyFont="1" applyFill="1" applyAlignment="1">
      <alignment vertical="center"/>
    </xf>
    <xf numFmtId="166" fontId="72" fillId="7" borderId="0" xfId="0" applyNumberFormat="1" applyFont="1" applyFill="1" applyAlignment="1">
      <alignment horizontal="right" vertical="center"/>
    </xf>
    <xf numFmtId="166" fontId="72" fillId="7" borderId="0" xfId="0" applyNumberFormat="1" applyFont="1" applyFill="1" applyAlignment="1">
      <alignment horizontal="center" vertical="center"/>
    </xf>
    <xf numFmtId="166" fontId="72" fillId="7" borderId="0" xfId="0" applyNumberFormat="1" applyFont="1" applyFill="1" applyBorder="1" applyAlignment="1">
      <alignment vertical="center"/>
    </xf>
    <xf numFmtId="1" fontId="42" fillId="7" borderId="4" xfId="0" applyNumberFormat="1" applyFont="1" applyFill="1" applyBorder="1" applyAlignment="1">
      <alignment horizontal="center" vertical="center"/>
    </xf>
    <xf numFmtId="1" fontId="43" fillId="7" borderId="7" xfId="0" applyNumberFormat="1" applyFont="1" applyFill="1" applyBorder="1" applyAlignment="1">
      <alignment horizontal="center" vertical="center"/>
    </xf>
    <xf numFmtId="166" fontId="3" fillId="7" borderId="31" xfId="0" applyNumberFormat="1" applyFont="1" applyFill="1" applyBorder="1" applyAlignment="1">
      <alignment horizontal="center" vertical="center" wrapText="1"/>
    </xf>
    <xf numFmtId="166" fontId="49" fillId="7" borderId="0" xfId="0" applyNumberFormat="1" applyFont="1" applyFill="1" applyBorder="1" applyAlignment="1">
      <alignment vertical="center"/>
    </xf>
    <xf numFmtId="166" fontId="49" fillId="7" borderId="0" xfId="0" applyNumberFormat="1" applyFont="1" applyFill="1" applyBorder="1" applyAlignment="1">
      <alignment horizontal="center" vertical="center"/>
    </xf>
    <xf numFmtId="1" fontId="71" fillId="7" borderId="0" xfId="0" applyNumberFormat="1" applyFont="1" applyFill="1" applyBorder="1" applyAlignment="1">
      <alignment horizontal="center" vertical="center"/>
    </xf>
    <xf numFmtId="0" fontId="72" fillId="0" borderId="0" xfId="0" applyFont="1" applyFill="1" applyBorder="1" applyAlignment="1">
      <alignment horizontal="left" vertical="center"/>
    </xf>
    <xf numFmtId="0" fontId="72" fillId="0" borderId="0" xfId="0" applyFont="1" applyFill="1" applyAlignment="1">
      <alignment horizontal="left" vertical="center" wrapText="1"/>
    </xf>
    <xf numFmtId="0" fontId="64" fillId="0" borderId="0" xfId="0" applyFont="1" applyFill="1" applyAlignment="1">
      <alignment vertical="center"/>
    </xf>
    <xf numFmtId="0" fontId="40" fillId="7" borderId="20" xfId="0" applyFont="1" applyFill="1" applyBorder="1" applyAlignment="1">
      <alignment vertical="center"/>
    </xf>
    <xf numFmtId="0" fontId="1" fillId="7" borderId="14" xfId="0" applyFont="1" applyFill="1" applyBorder="1" applyAlignment="1">
      <alignment vertical="center"/>
    </xf>
    <xf numFmtId="0" fontId="40" fillId="7" borderId="39" xfId="0" applyFont="1" applyFill="1" applyBorder="1" applyAlignment="1">
      <alignment vertical="center"/>
    </xf>
    <xf numFmtId="1" fontId="43" fillId="7" borderId="14" xfId="0" applyNumberFormat="1" applyFont="1" applyFill="1" applyBorder="1" applyAlignment="1">
      <alignment horizontal="center" vertical="center"/>
    </xf>
    <xf numFmtId="0" fontId="2" fillId="7" borderId="63" xfId="0" applyFont="1" applyFill="1" applyBorder="1" applyAlignment="1">
      <alignment horizontal="right" vertical="center"/>
    </xf>
    <xf numFmtId="0" fontId="2" fillId="7" borderId="55" xfId="0" applyFont="1" applyFill="1" applyBorder="1" applyAlignment="1">
      <alignment horizontal="right" vertical="center"/>
    </xf>
    <xf numFmtId="0" fontId="1" fillId="7" borderId="32" xfId="0" applyFont="1" applyFill="1" applyBorder="1" applyAlignment="1">
      <alignment vertical="center"/>
    </xf>
    <xf numFmtId="0" fontId="2" fillId="7" borderId="40" xfId="0" applyFont="1" applyFill="1" applyBorder="1" applyAlignment="1">
      <alignment horizontal="center" vertical="center"/>
    </xf>
    <xf numFmtId="0" fontId="40" fillId="7" borderId="34" xfId="0" applyFont="1" applyFill="1" applyBorder="1" applyAlignment="1">
      <alignment vertical="center"/>
    </xf>
    <xf numFmtId="1" fontId="43" fillId="7" borderId="32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59" fillId="0" borderId="0" xfId="0" applyFont="1" applyFill="1" applyAlignment="1">
      <alignment vertical="center" wrapText="1"/>
    </xf>
    <xf numFmtId="0" fontId="0" fillId="0" borderId="0" xfId="0" applyFill="1"/>
    <xf numFmtId="0" fontId="19" fillId="0" borderId="14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166" fontId="38" fillId="4" borderId="0" xfId="0" applyNumberFormat="1" applyFont="1" applyFill="1"/>
    <xf numFmtId="1" fontId="7" fillId="0" borderId="77" xfId="0" applyNumberFormat="1" applyFont="1" applyFill="1" applyBorder="1" applyAlignment="1">
      <alignment horizontal="center" vertical="center"/>
    </xf>
    <xf numFmtId="1" fontId="7" fillId="0" borderId="53" xfId="0" applyNumberFormat="1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left" vertical="center"/>
    </xf>
    <xf numFmtId="0" fontId="19" fillId="0" borderId="29" xfId="0" applyFont="1" applyFill="1" applyBorder="1" applyAlignment="1">
      <alignment horizontal="left" vertical="center"/>
    </xf>
    <xf numFmtId="0" fontId="19" fillId="0" borderId="33" xfId="0" applyFont="1" applyFill="1" applyBorder="1" applyAlignment="1">
      <alignment horizontal="left" vertical="center"/>
    </xf>
    <xf numFmtId="0" fontId="7" fillId="0" borderId="76" xfId="0" applyFont="1" applyFill="1" applyBorder="1" applyAlignment="1">
      <alignment vertical="center"/>
    </xf>
    <xf numFmtId="1" fontId="7" fillId="0" borderId="43" xfId="0" applyNumberFormat="1" applyFont="1" applyFill="1" applyBorder="1" applyAlignment="1">
      <alignment horizontal="center" vertical="center"/>
    </xf>
    <xf numFmtId="1" fontId="7" fillId="0" borderId="57" xfId="0" applyNumberFormat="1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left"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48" xfId="0" applyFont="1" applyFill="1" applyBorder="1" applyAlignment="1">
      <alignment horizontal="left" vertical="center"/>
    </xf>
    <xf numFmtId="1" fontId="7" fillId="0" borderId="47" xfId="0" applyNumberFormat="1" applyFont="1" applyFill="1" applyBorder="1" applyAlignment="1">
      <alignment horizontal="right" vertical="center"/>
    </xf>
    <xf numFmtId="0" fontId="15" fillId="0" borderId="12" xfId="0" applyFont="1" applyFill="1" applyBorder="1" applyAlignment="1">
      <alignment horizontal="center" vertical="center"/>
    </xf>
    <xf numFmtId="1" fontId="19" fillId="0" borderId="76" xfId="0" applyNumberFormat="1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29" fillId="0" borderId="0" xfId="0" applyFont="1" applyBorder="1" applyAlignment="1">
      <alignment horizontal="left" vertical="center"/>
    </xf>
    <xf numFmtId="166" fontId="15" fillId="0" borderId="0" xfId="0" applyNumberFormat="1" applyFont="1" applyAlignment="1">
      <alignment vertical="center"/>
    </xf>
    <xf numFmtId="1" fontId="15" fillId="0" borderId="0" xfId="0" applyNumberFormat="1" applyFont="1" applyAlignment="1">
      <alignment vertical="center"/>
    </xf>
    <xf numFmtId="0" fontId="15" fillId="0" borderId="0" xfId="0" applyNumberFormat="1" applyFont="1" applyFill="1" applyBorder="1" applyAlignment="1">
      <alignment horizontal="center" vertical="center" wrapText="1"/>
    </xf>
    <xf numFmtId="0" fontId="31" fillId="0" borderId="0" xfId="0" applyFont="1" applyAlignment="1">
      <alignment horizontal="right" vertical="center"/>
    </xf>
    <xf numFmtId="0" fontId="69" fillId="0" borderId="5" xfId="0" applyFont="1" applyBorder="1" applyAlignment="1">
      <alignment horizontal="center" vertical="center"/>
    </xf>
    <xf numFmtId="0" fontId="69" fillId="0" borderId="5" xfId="0" applyFont="1" applyBorder="1" applyAlignment="1">
      <alignment vertical="center"/>
    </xf>
    <xf numFmtId="0" fontId="69" fillId="0" borderId="81" xfId="0" applyFont="1" applyBorder="1" applyAlignment="1">
      <alignment horizontal="center" vertical="center"/>
    </xf>
    <xf numFmtId="0" fontId="69" fillId="0" borderId="82" xfId="0" applyFont="1" applyBorder="1" applyAlignment="1">
      <alignment horizontal="center" vertical="center"/>
    </xf>
    <xf numFmtId="0" fontId="69" fillId="0" borderId="82" xfId="0" applyFont="1" applyBorder="1" applyAlignment="1">
      <alignment vertical="center"/>
    </xf>
    <xf numFmtId="0" fontId="69" fillId="0" borderId="83" xfId="0" applyFont="1" applyBorder="1" applyAlignment="1">
      <alignment horizontal="center" vertical="center"/>
    </xf>
    <xf numFmtId="0" fontId="69" fillId="0" borderId="84" xfId="0" applyFont="1" applyBorder="1" applyAlignment="1">
      <alignment horizontal="center" vertical="center"/>
    </xf>
    <xf numFmtId="0" fontId="69" fillId="0" borderId="85" xfId="0" applyFont="1" applyBorder="1" applyAlignment="1">
      <alignment horizontal="center" vertical="center"/>
    </xf>
    <xf numFmtId="0" fontId="69" fillId="0" borderId="84" xfId="0" applyFont="1" applyBorder="1" applyAlignment="1">
      <alignment vertical="center"/>
    </xf>
    <xf numFmtId="0" fontId="69" fillId="0" borderId="85" xfId="0" applyFont="1" applyBorder="1" applyAlignment="1">
      <alignment vertical="center"/>
    </xf>
    <xf numFmtId="0" fontId="69" fillId="0" borderId="4" xfId="0" applyFont="1" applyBorder="1" applyAlignment="1">
      <alignment horizontal="center" vertical="center"/>
    </xf>
    <xf numFmtId="0" fontId="69" fillId="0" borderId="4" xfId="0" applyFont="1" applyBorder="1" applyAlignment="1">
      <alignment vertical="center"/>
    </xf>
    <xf numFmtId="0" fontId="69" fillId="0" borderId="86" xfId="0" applyFont="1" applyBorder="1" applyAlignment="1">
      <alignment vertical="center"/>
    </xf>
    <xf numFmtId="0" fontId="69" fillId="0" borderId="86" xfId="0" applyFont="1" applyBorder="1" applyAlignment="1">
      <alignment horizontal="center" vertical="center"/>
    </xf>
    <xf numFmtId="0" fontId="35" fillId="0" borderId="0" xfId="0" applyFont="1" applyAlignment="1">
      <alignment vertical="center"/>
    </xf>
    <xf numFmtId="166" fontId="18" fillId="0" borderId="0" xfId="0" applyNumberFormat="1" applyFont="1" applyFill="1" applyAlignment="1">
      <alignment horizontal="right" vertical="center"/>
    </xf>
    <xf numFmtId="1" fontId="7" fillId="0" borderId="0" xfId="0" applyNumberFormat="1" applyFont="1" applyFill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166" fontId="78" fillId="0" borderId="37" xfId="0" applyNumberFormat="1" applyFont="1" applyBorder="1" applyAlignment="1">
      <alignment horizontal="center" vertical="center" wrapText="1"/>
    </xf>
    <xf numFmtId="166" fontId="66" fillId="0" borderId="38" xfId="0" applyNumberFormat="1" applyFont="1" applyBorder="1" applyAlignment="1">
      <alignment horizontal="center" vertical="center" textRotation="90" wrapText="1"/>
    </xf>
    <xf numFmtId="166" fontId="78" fillId="0" borderId="38" xfId="0" applyNumberFormat="1" applyFont="1" applyBorder="1" applyAlignment="1">
      <alignment horizontal="center" vertical="center" wrapText="1"/>
    </xf>
    <xf numFmtId="166" fontId="66" fillId="0" borderId="45" xfId="0" applyNumberFormat="1" applyFont="1" applyBorder="1" applyAlignment="1">
      <alignment horizontal="center" vertical="center" textRotation="90" wrapText="1"/>
    </xf>
    <xf numFmtId="166" fontId="78" fillId="0" borderId="69" xfId="0" applyNumberFormat="1" applyFont="1" applyBorder="1" applyAlignment="1">
      <alignment horizontal="center" vertical="center" wrapText="1"/>
    </xf>
    <xf numFmtId="166" fontId="78" fillId="0" borderId="24" xfId="0" applyNumberFormat="1" applyFont="1" applyBorder="1" applyAlignment="1">
      <alignment horizontal="center" vertical="center" wrapText="1"/>
    </xf>
    <xf numFmtId="166" fontId="66" fillId="0" borderId="24" xfId="0" applyNumberFormat="1" applyFont="1" applyBorder="1" applyAlignment="1">
      <alignment horizontal="center" vertical="center" textRotation="90" wrapText="1"/>
    </xf>
    <xf numFmtId="166" fontId="78" fillId="0" borderId="25" xfId="0" applyNumberFormat="1" applyFont="1" applyBorder="1" applyAlignment="1">
      <alignment horizontal="center" vertical="center" wrapText="1"/>
    </xf>
    <xf numFmtId="166" fontId="66" fillId="0" borderId="68" xfId="0" applyNumberFormat="1" applyFont="1" applyBorder="1" applyAlignment="1">
      <alignment horizontal="center" vertical="center" textRotation="90" wrapText="1"/>
    </xf>
    <xf numFmtId="166" fontId="78" fillId="0" borderId="68" xfId="0" applyNumberFormat="1" applyFont="1" applyBorder="1" applyAlignment="1">
      <alignment horizontal="center" vertical="center" wrapText="1"/>
    </xf>
    <xf numFmtId="166" fontId="66" fillId="0" borderId="23" xfId="0" applyNumberFormat="1" applyFont="1" applyBorder="1" applyAlignment="1">
      <alignment horizontal="center" vertical="center" textRotation="90" wrapText="1"/>
    </xf>
    <xf numFmtId="166" fontId="78" fillId="0" borderId="22" xfId="0" applyNumberFormat="1" applyFont="1" applyBorder="1" applyAlignment="1">
      <alignment horizontal="center" vertical="center" wrapText="1"/>
    </xf>
    <xf numFmtId="166" fontId="11" fillId="0" borderId="22" xfId="0" applyNumberFormat="1" applyFont="1" applyFill="1" applyBorder="1" applyAlignment="1">
      <alignment horizontal="center" vertical="center"/>
    </xf>
    <xf numFmtId="0" fontId="67" fillId="0" borderId="45" xfId="0" applyFont="1" applyFill="1" applyBorder="1" applyAlignment="1">
      <alignment horizontal="center" vertical="center" textRotation="90"/>
    </xf>
    <xf numFmtId="166" fontId="11" fillId="0" borderId="69" xfId="0" applyNumberFormat="1" applyFont="1" applyFill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74" fillId="0" borderId="0" xfId="0" applyFont="1"/>
    <xf numFmtId="0" fontId="39" fillId="0" borderId="0" xfId="0" applyFont="1" applyBorder="1" applyAlignment="1">
      <alignment horizontal="left" vertical="center"/>
    </xf>
    <xf numFmtId="0" fontId="39" fillId="0" borderId="0" xfId="0" applyFont="1" applyBorder="1" applyAlignment="1">
      <alignment horizontal="right" vertical="center"/>
    </xf>
    <xf numFmtId="0" fontId="58" fillId="0" borderId="0" xfId="0" applyFont="1" applyBorder="1" applyAlignment="1">
      <alignment horizontal="left" vertical="center"/>
    </xf>
    <xf numFmtId="0" fontId="58" fillId="0" borderId="0" xfId="0" applyFont="1" applyAlignment="1">
      <alignment horizontal="center" vertical="center"/>
    </xf>
    <xf numFmtId="0" fontId="58" fillId="0" borderId="0" xfId="0" applyFont="1" applyBorder="1" applyAlignment="1">
      <alignment horizontal="left" vertical="center" indent="1"/>
    </xf>
    <xf numFmtId="0" fontId="58" fillId="0" borderId="0" xfId="0" applyFont="1" applyBorder="1" applyAlignment="1">
      <alignment vertical="center"/>
    </xf>
    <xf numFmtId="1" fontId="58" fillId="0" borderId="0" xfId="0" applyNumberFormat="1" applyFont="1" applyBorder="1" applyAlignment="1">
      <alignment horizontal="center" vertical="center"/>
    </xf>
    <xf numFmtId="0" fontId="58" fillId="0" borderId="0" xfId="0" applyFont="1" applyBorder="1" applyAlignment="1">
      <alignment horizontal="left"/>
    </xf>
    <xf numFmtId="0" fontId="58" fillId="0" borderId="1" xfId="0" applyFont="1" applyBorder="1" applyAlignment="1">
      <alignment horizontal="left" vertical="center" indent="1"/>
    </xf>
    <xf numFmtId="0" fontId="58" fillId="0" borderId="1" xfId="0" applyFont="1" applyBorder="1" applyAlignment="1">
      <alignment horizontal="center"/>
    </xf>
    <xf numFmtId="0" fontId="58" fillId="0" borderId="3" xfId="0" applyFont="1" applyBorder="1" applyAlignment="1">
      <alignment horizontal="left" vertical="center" indent="1"/>
    </xf>
    <xf numFmtId="0" fontId="58" fillId="0" borderId="3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 wrapText="1"/>
    </xf>
    <xf numFmtId="0" fontId="58" fillId="0" borderId="0" xfId="0" applyFont="1" applyBorder="1" applyAlignment="1">
      <alignment vertical="center" wrapText="1"/>
    </xf>
    <xf numFmtId="0" fontId="58" fillId="0" borderId="0" xfId="0" applyFont="1" applyAlignment="1">
      <alignment horizontal="left" vertical="center"/>
    </xf>
    <xf numFmtId="0" fontId="79" fillId="0" borderId="0" xfId="0" applyFont="1" applyBorder="1"/>
    <xf numFmtId="0" fontId="79" fillId="0" borderId="0" xfId="0" applyFont="1"/>
    <xf numFmtId="0" fontId="58" fillId="0" borderId="1" xfId="0" applyFont="1" applyBorder="1" applyAlignment="1">
      <alignment horizontal="center" vertical="center"/>
    </xf>
    <xf numFmtId="0" fontId="39" fillId="0" borderId="0" xfId="0" applyFont="1" applyAlignment="1">
      <alignment horizontal="right" vertical="center" wrapText="1"/>
    </xf>
    <xf numFmtId="0" fontId="39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62" fillId="0" borderId="0" xfId="0" applyFont="1"/>
    <xf numFmtId="0" fontId="80" fillId="0" borderId="0" xfId="0" applyFont="1" applyAlignment="1">
      <alignment horizontal="center" vertical="center"/>
    </xf>
    <xf numFmtId="0" fontId="39" fillId="0" borderId="0" xfId="0" applyFont="1" applyAlignment="1">
      <alignment horizontal="right"/>
    </xf>
    <xf numFmtId="0" fontId="81" fillId="0" borderId="0" xfId="0" applyFont="1"/>
    <xf numFmtId="0" fontId="39" fillId="0" borderId="5" xfId="0" applyFont="1" applyBorder="1" applyAlignment="1">
      <alignment horizontal="center" vertical="center" textRotation="90" wrapText="1"/>
    </xf>
    <xf numFmtId="0" fontId="58" fillId="0" borderId="5" xfId="0" applyFont="1" applyBorder="1" applyAlignment="1">
      <alignment horizontal="center" vertical="center" wrapText="1"/>
    </xf>
    <xf numFmtId="0" fontId="39" fillId="0" borderId="5" xfId="0" applyFont="1" applyBorder="1" applyAlignment="1">
      <alignment horizontal="center" vertical="center" wrapText="1"/>
    </xf>
    <xf numFmtId="0" fontId="58" fillId="0" borderId="5" xfId="0" applyFont="1" applyBorder="1" applyAlignment="1">
      <alignment horizontal="center" vertical="center"/>
    </xf>
    <xf numFmtId="0" fontId="58" fillId="0" borderId="5" xfId="0" applyFont="1" applyBorder="1" applyAlignment="1">
      <alignment vertical="center"/>
    </xf>
    <xf numFmtId="0" fontId="58" fillId="0" borderId="4" xfId="0" applyFont="1" applyBorder="1" applyAlignment="1">
      <alignment horizontal="left" vertical="center" indent="1"/>
    </xf>
    <xf numFmtId="0" fontId="58" fillId="0" borderId="2" xfId="0" applyFont="1" applyBorder="1" applyAlignment="1">
      <alignment vertical="center"/>
    </xf>
    <xf numFmtId="0" fontId="39" fillId="0" borderId="6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center" vertical="center"/>
    </xf>
    <xf numFmtId="166" fontId="17" fillId="0" borderId="0" xfId="0" applyNumberFormat="1" applyFont="1" applyFill="1" applyBorder="1" applyAlignment="1">
      <alignment vertical="center" wrapText="1"/>
    </xf>
    <xf numFmtId="0" fontId="40" fillId="7" borderId="76" xfId="0" applyFont="1" applyFill="1" applyBorder="1" applyAlignment="1">
      <alignment vertical="center"/>
    </xf>
    <xf numFmtId="1" fontId="58" fillId="0" borderId="0" xfId="0" applyNumberFormat="1" applyFont="1" applyBorder="1" applyAlignment="1">
      <alignment horizontal="left" vertical="center"/>
    </xf>
    <xf numFmtId="0" fontId="74" fillId="0" borderId="1" xfId="0" applyFont="1" applyBorder="1"/>
    <xf numFmtId="0" fontId="47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top"/>
    </xf>
    <xf numFmtId="0" fontId="81" fillId="0" borderId="0" xfId="0" applyFont="1" applyAlignment="1">
      <alignment vertical="top"/>
    </xf>
    <xf numFmtId="0" fontId="13" fillId="0" borderId="0" xfId="0" applyFont="1" applyAlignment="1">
      <alignment horizontal="center" vertical="top"/>
    </xf>
    <xf numFmtId="0" fontId="62" fillId="0" borderId="0" xfId="0" applyFont="1" applyAlignment="1">
      <alignment vertical="top"/>
    </xf>
    <xf numFmtId="0" fontId="80" fillId="0" borderId="0" xfId="0" applyFont="1" applyAlignment="1">
      <alignment horizontal="center" vertical="top"/>
    </xf>
    <xf numFmtId="0" fontId="19" fillId="0" borderId="39" xfId="0" applyFont="1" applyFill="1" applyBorder="1" applyAlignment="1">
      <alignment horizontal="left" vertical="center"/>
    </xf>
    <xf numFmtId="0" fontId="19" fillId="0" borderId="4" xfId="0" applyFont="1" applyFill="1" applyBorder="1" applyAlignment="1">
      <alignment horizontal="left" vertical="center"/>
    </xf>
    <xf numFmtId="0" fontId="19" fillId="0" borderId="40" xfId="0" applyFont="1" applyFill="1" applyBorder="1" applyAlignment="1">
      <alignment horizontal="left" vertical="center"/>
    </xf>
    <xf numFmtId="166" fontId="78" fillId="0" borderId="73" xfId="0" applyNumberFormat="1" applyFont="1" applyBorder="1" applyAlignment="1">
      <alignment horizontal="center" vertical="center" wrapText="1"/>
    </xf>
    <xf numFmtId="166" fontId="78" fillId="0" borderId="65" xfId="0" applyNumberFormat="1" applyFont="1" applyBorder="1" applyAlignment="1">
      <alignment horizontal="center" vertical="center" wrapText="1"/>
    </xf>
    <xf numFmtId="166" fontId="78" fillId="0" borderId="70" xfId="0" applyNumberFormat="1" applyFont="1" applyBorder="1" applyAlignment="1">
      <alignment horizontal="center" vertical="center" wrapText="1"/>
    </xf>
    <xf numFmtId="166" fontId="78" fillId="0" borderId="72" xfId="0" applyNumberFormat="1" applyFont="1" applyBorder="1" applyAlignment="1">
      <alignment horizontal="center" vertical="center" wrapText="1"/>
    </xf>
    <xf numFmtId="166" fontId="78" fillId="0" borderId="71" xfId="0" applyNumberFormat="1" applyFont="1" applyBorder="1" applyAlignment="1">
      <alignment horizontal="center" vertical="center" wrapText="1"/>
    </xf>
    <xf numFmtId="166" fontId="78" fillId="0" borderId="15" xfId="0" applyNumberFormat="1" applyFont="1" applyBorder="1" applyAlignment="1">
      <alignment horizontal="center" vertical="center" wrapText="1"/>
    </xf>
    <xf numFmtId="166" fontId="78" fillId="0" borderId="67" xfId="0" applyNumberFormat="1" applyFont="1" applyBorder="1" applyAlignment="1">
      <alignment horizontal="center" vertical="center" wrapText="1"/>
    </xf>
    <xf numFmtId="166" fontId="78" fillId="0" borderId="13" xfId="0" applyNumberFormat="1" applyFont="1" applyBorder="1" applyAlignment="1">
      <alignment horizontal="center" vertical="center" wrapText="1"/>
    </xf>
    <xf numFmtId="0" fontId="83" fillId="0" borderId="19" xfId="0" applyFont="1" applyFill="1" applyBorder="1" applyAlignment="1">
      <alignment horizontal="center" vertical="center" textRotation="90"/>
    </xf>
    <xf numFmtId="166" fontId="11" fillId="0" borderId="66" xfId="0" applyNumberFormat="1" applyFont="1" applyFill="1" applyBorder="1" applyAlignment="1">
      <alignment horizontal="center" vertical="center"/>
    </xf>
    <xf numFmtId="0" fontId="83" fillId="0" borderId="72" xfId="0" applyFont="1" applyFill="1" applyBorder="1" applyAlignment="1">
      <alignment horizontal="center" vertical="center" textRotation="90"/>
    </xf>
    <xf numFmtId="0" fontId="59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84" fillId="0" borderId="0" xfId="0" applyFont="1" applyFill="1" applyAlignment="1">
      <alignment vertical="center"/>
    </xf>
    <xf numFmtId="0" fontId="85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1" fillId="0" borderId="0" xfId="0" applyFont="1" applyFill="1" applyAlignment="1">
      <alignment horizontal="left" vertical="center"/>
    </xf>
    <xf numFmtId="0" fontId="61" fillId="0" borderId="0" xfId="0" applyFont="1" applyFill="1" applyAlignment="1">
      <alignment vertical="center"/>
    </xf>
    <xf numFmtId="0" fontId="59" fillId="0" borderId="0" xfId="0" applyFont="1" applyFill="1" applyAlignment="1">
      <alignment horizontal="left" vertical="center"/>
    </xf>
    <xf numFmtId="0" fontId="61" fillId="0" borderId="0" xfId="0" applyFont="1" applyFill="1" applyBorder="1" applyAlignment="1">
      <alignment horizontal="left" vertical="center"/>
    </xf>
    <xf numFmtId="0" fontId="61" fillId="0" borderId="0" xfId="0" applyFont="1" applyFill="1" applyBorder="1" applyAlignment="1">
      <alignment horizontal="center" vertical="center"/>
    </xf>
    <xf numFmtId="166" fontId="61" fillId="0" borderId="0" xfId="0" applyNumberFormat="1" applyFont="1" applyFill="1" applyAlignment="1">
      <alignment vertical="center"/>
    </xf>
    <xf numFmtId="166" fontId="61" fillId="0" borderId="0" xfId="0" applyNumberFormat="1" applyFont="1" applyFill="1" applyAlignment="1">
      <alignment horizontal="right" vertical="center"/>
    </xf>
    <xf numFmtId="166" fontId="61" fillId="0" borderId="0" xfId="0" applyNumberFormat="1" applyFont="1" applyFill="1" applyAlignment="1">
      <alignment horizontal="center" vertical="center"/>
    </xf>
    <xf numFmtId="166" fontId="61" fillId="0" borderId="0" xfId="0" applyNumberFormat="1" applyFont="1" applyFill="1" applyBorder="1" applyAlignment="1">
      <alignment vertical="center"/>
    </xf>
    <xf numFmtId="166" fontId="61" fillId="0" borderId="0" xfId="0" applyNumberFormat="1" applyFont="1" applyFill="1" applyBorder="1" applyAlignment="1">
      <alignment horizontal="center" vertical="center"/>
    </xf>
    <xf numFmtId="1" fontId="79" fillId="0" borderId="0" xfId="0" applyNumberFormat="1" applyFont="1" applyFill="1" applyBorder="1" applyAlignment="1">
      <alignment horizontal="center" vertical="center"/>
    </xf>
    <xf numFmtId="0" fontId="61" fillId="0" borderId="0" xfId="0" applyFont="1" applyFill="1" applyAlignment="1">
      <alignment horizontal="center" vertical="center"/>
    </xf>
    <xf numFmtId="1" fontId="59" fillId="0" borderId="0" xfId="0" applyNumberFormat="1" applyFont="1" applyFill="1" applyAlignment="1">
      <alignment vertical="center"/>
    </xf>
    <xf numFmtId="0" fontId="70" fillId="0" borderId="0" xfId="0" applyFont="1" applyFill="1" applyAlignment="1">
      <alignment horizontal="center" vertical="center"/>
    </xf>
    <xf numFmtId="0" fontId="70" fillId="0" borderId="0" xfId="0" applyFont="1" applyFill="1" applyBorder="1" applyAlignment="1">
      <alignment horizontal="center" vertical="center"/>
    </xf>
    <xf numFmtId="166" fontId="70" fillId="0" borderId="0" xfId="0" applyNumberFormat="1" applyFont="1" applyFill="1" applyAlignment="1">
      <alignment vertical="center"/>
    </xf>
    <xf numFmtId="166" fontId="70" fillId="0" borderId="0" xfId="0" applyNumberFormat="1" applyFont="1" applyFill="1" applyAlignment="1">
      <alignment horizontal="right" vertical="center"/>
    </xf>
    <xf numFmtId="166" fontId="70" fillId="0" borderId="0" xfId="0" applyNumberFormat="1" applyFont="1" applyFill="1" applyAlignment="1">
      <alignment horizontal="center" vertical="center"/>
    </xf>
    <xf numFmtId="166" fontId="88" fillId="0" borderId="0" xfId="0" applyNumberFormat="1" applyFont="1" applyBorder="1" applyAlignment="1">
      <alignment horizontal="left" vertical="center"/>
    </xf>
    <xf numFmtId="0" fontId="89" fillId="0" borderId="0" xfId="0" applyFont="1" applyAlignment="1">
      <alignment vertical="center"/>
    </xf>
    <xf numFmtId="166" fontId="88" fillId="0" borderId="0" xfId="0" applyNumberFormat="1" applyFont="1" applyBorder="1" applyAlignment="1">
      <alignment horizontal="center" vertical="center"/>
    </xf>
    <xf numFmtId="0" fontId="88" fillId="0" borderId="0" xfId="0" applyFont="1" applyAlignment="1">
      <alignment horizontal="center" vertical="center"/>
    </xf>
    <xf numFmtId="0" fontId="74" fillId="0" borderId="1" xfId="0" applyFont="1" applyBorder="1" applyAlignment="1"/>
    <xf numFmtId="166" fontId="49" fillId="7" borderId="0" xfId="0" applyNumberFormat="1" applyFont="1" applyFill="1" applyAlignment="1">
      <alignment horizontal="center" vertical="center"/>
    </xf>
    <xf numFmtId="0" fontId="49" fillId="7" borderId="0" xfId="0" applyFont="1" applyFill="1" applyAlignment="1">
      <alignment horizontal="center" vertical="center"/>
    </xf>
    <xf numFmtId="0" fontId="58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91" fillId="0" borderId="0" xfId="0" applyFont="1"/>
    <xf numFmtId="166" fontId="3" fillId="0" borderId="34" xfId="0" applyNumberFormat="1" applyFont="1" applyFill="1" applyBorder="1" applyAlignment="1">
      <alignment horizontal="center" vertical="center"/>
    </xf>
    <xf numFmtId="1" fontId="33" fillId="0" borderId="33" xfId="0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left" vertical="center"/>
    </xf>
    <xf numFmtId="0" fontId="49" fillId="0" borderId="0" xfId="0" applyFont="1" applyFill="1" applyAlignment="1">
      <alignment horizontal="left" vertical="center"/>
    </xf>
    <xf numFmtId="0" fontId="29" fillId="0" borderId="0" xfId="0" applyFont="1" applyFill="1" applyBorder="1" applyAlignment="1">
      <alignment vertical="center"/>
    </xf>
    <xf numFmtId="0" fontId="0" fillId="0" borderId="0" xfId="0" applyBorder="1"/>
    <xf numFmtId="166" fontId="15" fillId="0" borderId="0" xfId="0" applyNumberFormat="1" applyFont="1" applyFill="1" applyBorder="1" applyAlignment="1">
      <alignment horizontal="right" vertical="center"/>
    </xf>
    <xf numFmtId="0" fontId="32" fillId="0" borderId="0" xfId="0" applyFont="1" applyFill="1" applyBorder="1" applyAlignment="1">
      <alignment horizontal="right" vertical="center"/>
    </xf>
    <xf numFmtId="0" fontId="30" fillId="0" borderId="0" xfId="0" applyFont="1" applyFill="1" applyBorder="1" applyAlignment="1">
      <alignment horizontal="center" vertical="center"/>
    </xf>
    <xf numFmtId="0" fontId="77" fillId="0" borderId="0" xfId="0" applyFont="1" applyFill="1" applyAlignment="1">
      <alignment vertical="center"/>
    </xf>
    <xf numFmtId="0" fontId="77" fillId="0" borderId="0" xfId="0" applyFont="1" applyFill="1" applyAlignment="1">
      <alignment horizontal="center" vertical="center"/>
    </xf>
    <xf numFmtId="0" fontId="77" fillId="0" borderId="0" xfId="0" applyFont="1" applyFill="1" applyBorder="1" applyAlignment="1">
      <alignment horizontal="center" vertical="center"/>
    </xf>
    <xf numFmtId="166" fontId="77" fillId="0" borderId="0" xfId="0" applyNumberFormat="1" applyFont="1" applyFill="1" applyBorder="1" applyAlignment="1">
      <alignment horizontal="right" vertical="center"/>
    </xf>
    <xf numFmtId="2" fontId="13" fillId="0" borderId="0" xfId="0" applyNumberFormat="1" applyFont="1" applyFill="1" applyAlignment="1">
      <alignment horizontal="right" vertical="center"/>
    </xf>
    <xf numFmtId="1" fontId="77" fillId="0" borderId="0" xfId="0" applyNumberFormat="1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 vertical="center"/>
    </xf>
    <xf numFmtId="166" fontId="13" fillId="0" borderId="0" xfId="0" applyNumberFormat="1" applyFont="1" applyFill="1" applyAlignment="1">
      <alignment horizontal="right" vertical="center"/>
    </xf>
    <xf numFmtId="0" fontId="13" fillId="0" borderId="0" xfId="0" applyFont="1" applyFill="1" applyBorder="1" applyAlignment="1">
      <alignment horizontal="right" vertical="center"/>
    </xf>
    <xf numFmtId="1" fontId="14" fillId="0" borderId="0" xfId="0" applyNumberFormat="1" applyFont="1" applyBorder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0" fontId="14" fillId="0" borderId="0" xfId="0" applyFont="1" applyFill="1" applyBorder="1" applyAlignment="1">
      <alignment horizontal="center" vertical="top"/>
    </xf>
    <xf numFmtId="0" fontId="62" fillId="0" borderId="0" xfId="0" applyFont="1" applyFill="1"/>
    <xf numFmtId="0" fontId="14" fillId="0" borderId="0" xfId="0" applyFont="1" applyAlignment="1">
      <alignment horizontal="center"/>
    </xf>
    <xf numFmtId="0" fontId="14" fillId="0" borderId="0" xfId="0" applyFont="1"/>
    <xf numFmtId="166" fontId="13" fillId="0" borderId="0" xfId="0" applyNumberFormat="1" applyFont="1" applyFill="1" applyAlignment="1">
      <alignment horizontal="center" vertical="center"/>
    </xf>
    <xf numFmtId="166" fontId="13" fillId="0" borderId="0" xfId="0" applyNumberFormat="1" applyFont="1" applyAlignment="1">
      <alignment horizontal="right"/>
    </xf>
    <xf numFmtId="0" fontId="13" fillId="0" borderId="0" xfId="0" applyFont="1"/>
    <xf numFmtId="170" fontId="13" fillId="0" borderId="0" xfId="0" applyNumberFormat="1" applyFont="1"/>
    <xf numFmtId="166" fontId="13" fillId="0" borderId="0" xfId="0" applyNumberFormat="1" applyFont="1" applyFill="1"/>
    <xf numFmtId="0" fontId="13" fillId="0" borderId="0" xfId="0" applyFont="1" applyFill="1"/>
    <xf numFmtId="0" fontId="77" fillId="0" borderId="0" xfId="0" applyFont="1" applyAlignment="1">
      <alignment horizontal="left"/>
    </xf>
    <xf numFmtId="166" fontId="14" fillId="0" borderId="0" xfId="0" applyNumberFormat="1" applyFont="1"/>
    <xf numFmtId="0" fontId="35" fillId="0" borderId="0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left" vertical="center" wrapText="1"/>
    </xf>
    <xf numFmtId="0" fontId="37" fillId="0" borderId="0" xfId="0" applyFont="1"/>
    <xf numFmtId="0" fontId="37" fillId="0" borderId="0" xfId="0" applyFont="1" applyAlignment="1">
      <alignment horizontal="justify"/>
    </xf>
    <xf numFmtId="0" fontId="56" fillId="0" borderId="0" xfId="0" applyFont="1"/>
    <xf numFmtId="0" fontId="37" fillId="0" borderId="0" xfId="0" applyFont="1" applyAlignment="1">
      <alignment horizontal="left"/>
    </xf>
    <xf numFmtId="0" fontId="55" fillId="0" borderId="0" xfId="0" applyFont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94" fillId="0" borderId="0" xfId="0" applyFont="1" applyFill="1" applyAlignment="1">
      <alignment vertical="center" wrapText="1"/>
    </xf>
    <xf numFmtId="0" fontId="37" fillId="0" borderId="0" xfId="0" applyFont="1" applyAlignment="1">
      <alignment horizontal="center"/>
    </xf>
    <xf numFmtId="0" fontId="37" fillId="0" borderId="0" xfId="0" applyFont="1" applyAlignment="1">
      <alignment wrapText="1"/>
    </xf>
    <xf numFmtId="0" fontId="30" fillId="0" borderId="0" xfId="0" applyFont="1"/>
    <xf numFmtId="0" fontId="37" fillId="0" borderId="1" xfId="0" applyFont="1" applyBorder="1"/>
    <xf numFmtId="0" fontId="37" fillId="0" borderId="0" xfId="0" applyFont="1" applyBorder="1"/>
    <xf numFmtId="0" fontId="37" fillId="0" borderId="3" xfId="0" applyFont="1" applyBorder="1"/>
    <xf numFmtId="0" fontId="37" fillId="0" borderId="0" xfId="0" applyFont="1" applyAlignment="1">
      <alignment horizontal="left" vertical="top"/>
    </xf>
    <xf numFmtId="0" fontId="37" fillId="0" borderId="5" xfId="0" applyFont="1" applyBorder="1" applyAlignment="1">
      <alignment horizontal="center" vertical="center" textRotation="90"/>
    </xf>
    <xf numFmtId="0" fontId="37" fillId="0" borderId="0" xfId="0" applyFont="1" applyAlignment="1">
      <alignment horizontal="justify" vertical="top"/>
    </xf>
    <xf numFmtId="0" fontId="37" fillId="0" borderId="0" xfId="0" applyFont="1" applyAlignment="1">
      <alignment vertical="top"/>
    </xf>
    <xf numFmtId="0" fontId="37" fillId="0" borderId="1" xfId="0" applyFont="1" applyBorder="1" applyAlignment="1">
      <alignment horizontal="justify" vertical="top"/>
    </xf>
    <xf numFmtId="0" fontId="37" fillId="0" borderId="1" xfId="0" applyFont="1" applyBorder="1" applyAlignment="1">
      <alignment horizontal="left" vertical="top" wrapText="1"/>
    </xf>
    <xf numFmtId="0" fontId="37" fillId="0" borderId="3" xfId="0" applyFont="1" applyBorder="1" applyAlignment="1">
      <alignment horizontal="justify" vertical="top"/>
    </xf>
    <xf numFmtId="0" fontId="37" fillId="0" borderId="3" xfId="0" applyFont="1" applyBorder="1" applyAlignment="1">
      <alignment horizontal="left" vertical="top" wrapText="1"/>
    </xf>
    <xf numFmtId="0" fontId="37" fillId="0" borderId="3" xfId="0" applyFont="1" applyBorder="1" applyAlignment="1">
      <alignment horizontal="justify"/>
    </xf>
    <xf numFmtId="0" fontId="37" fillId="0" borderId="3" xfId="0" applyFont="1" applyBorder="1" applyAlignment="1">
      <alignment horizontal="left" vertical="top"/>
    </xf>
    <xf numFmtId="0" fontId="55" fillId="0" borderId="0" xfId="0" applyFont="1" applyAlignment="1">
      <alignment horizontal="center" wrapText="1"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left"/>
    </xf>
    <xf numFmtId="0" fontId="96" fillId="0" borderId="1" xfId="0" applyFont="1" applyBorder="1" applyAlignment="1">
      <alignment horizontal="center"/>
    </xf>
    <xf numFmtId="1" fontId="96" fillId="0" borderId="1" xfId="0" applyNumberFormat="1" applyFont="1" applyBorder="1" applyAlignment="1">
      <alignment horizontal="center"/>
    </xf>
    <xf numFmtId="0" fontId="96" fillId="0" borderId="3" xfId="0" applyFont="1" applyBorder="1" applyAlignment="1">
      <alignment horizontal="center"/>
    </xf>
    <xf numFmtId="0" fontId="37" fillId="0" borderId="5" xfId="0" applyFont="1" applyBorder="1" applyAlignment="1">
      <alignment horizontal="right"/>
    </xf>
    <xf numFmtId="0" fontId="55" fillId="0" borderId="5" xfId="0" applyFont="1" applyBorder="1" applyAlignment="1">
      <alignment horizontal="center"/>
    </xf>
    <xf numFmtId="0" fontId="96" fillId="0" borderId="5" xfId="0" applyFont="1" applyBorder="1" applyAlignment="1">
      <alignment horizontal="center" vertical="center" wrapText="1"/>
    </xf>
    <xf numFmtId="166" fontId="3" fillId="7" borderId="2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37" fillId="0" borderId="5" xfId="0" applyFont="1" applyBorder="1" applyAlignment="1">
      <alignment horizontal="center"/>
    </xf>
    <xf numFmtId="1" fontId="43" fillId="7" borderId="39" xfId="0" applyNumberFormat="1" applyFont="1" applyFill="1" applyBorder="1" applyAlignment="1">
      <alignment horizontal="center" vertical="center"/>
    </xf>
    <xf numFmtId="1" fontId="43" fillId="7" borderId="4" xfId="0" applyNumberFormat="1" applyFont="1" applyFill="1" applyBorder="1" applyAlignment="1">
      <alignment horizontal="center" vertical="center"/>
    </xf>
    <xf numFmtId="1" fontId="43" fillId="7" borderId="40" xfId="0" applyNumberFormat="1" applyFont="1" applyFill="1" applyBorder="1" applyAlignment="1">
      <alignment horizontal="center" vertical="center"/>
    </xf>
    <xf numFmtId="166" fontId="3" fillId="7" borderId="58" xfId="0" applyNumberFormat="1" applyFont="1" applyFill="1" applyBorder="1" applyAlignment="1">
      <alignment horizontal="center" vertical="center" wrapText="1"/>
    </xf>
    <xf numFmtId="166" fontId="1" fillId="8" borderId="62" xfId="0" applyNumberFormat="1" applyFont="1" applyFill="1" applyBorder="1" applyAlignment="1">
      <alignment horizontal="center" vertical="center" wrapText="1"/>
    </xf>
    <xf numFmtId="0" fontId="43" fillId="7" borderId="41" xfId="0" applyFont="1" applyFill="1" applyBorder="1" applyAlignment="1">
      <alignment horizontal="center" vertical="center"/>
    </xf>
    <xf numFmtId="0" fontId="43" fillId="7" borderId="54" xfId="0" applyFont="1" applyFill="1" applyBorder="1" applyAlignment="1">
      <alignment horizontal="center" vertical="center"/>
    </xf>
    <xf numFmtId="0" fontId="43" fillId="7" borderId="56" xfId="0" applyFont="1" applyFill="1" applyBorder="1" applyAlignment="1">
      <alignment horizontal="center" vertical="center"/>
    </xf>
    <xf numFmtId="0" fontId="37" fillId="0" borderId="5" xfId="0" applyFont="1" applyBorder="1" applyAlignment="1">
      <alignment horizontal="center"/>
    </xf>
    <xf numFmtId="0" fontId="36" fillId="0" borderId="0" xfId="0" applyFont="1" applyAlignment="1">
      <alignment horizontal="center"/>
    </xf>
    <xf numFmtId="0" fontId="51" fillId="0" borderId="1" xfId="0" applyFont="1" applyBorder="1" applyAlignment="1">
      <alignment horizontal="center"/>
    </xf>
    <xf numFmtId="0" fontId="51" fillId="0" borderId="3" xfId="0" applyFont="1" applyBorder="1" applyAlignment="1">
      <alignment horizontal="center"/>
    </xf>
    <xf numFmtId="166" fontId="40" fillId="7" borderId="46" xfId="0" applyNumberFormat="1" applyFont="1" applyFill="1" applyBorder="1" applyAlignment="1">
      <alignment horizontal="center" vertical="center"/>
    </xf>
    <xf numFmtId="166" fontId="40" fillId="7" borderId="3" xfId="0" applyNumberFormat="1" applyFont="1" applyFill="1" applyBorder="1" applyAlignment="1">
      <alignment horizontal="center" vertical="center"/>
    </xf>
    <xf numFmtId="166" fontId="40" fillId="7" borderId="49" xfId="0" applyNumberFormat="1" applyFont="1" applyFill="1" applyBorder="1" applyAlignment="1">
      <alignment horizontal="center" vertical="center"/>
    </xf>
    <xf numFmtId="0" fontId="37" fillId="0" borderId="0" xfId="0" applyFont="1" applyBorder="1" applyAlignment="1">
      <alignment horizontal="center" vertical="top"/>
    </xf>
    <xf numFmtId="0" fontId="37" fillId="0" borderId="0" xfId="0" applyFont="1" applyBorder="1" applyAlignment="1"/>
    <xf numFmtId="0" fontId="37" fillId="0" borderId="0" xfId="0" applyFont="1" applyBorder="1" applyAlignment="1">
      <alignment vertical="top"/>
    </xf>
    <xf numFmtId="0" fontId="37" fillId="0" borderId="1" xfId="0" applyFont="1" applyBorder="1" applyAlignment="1">
      <alignment horizontal="center" vertical="top"/>
    </xf>
    <xf numFmtId="0" fontId="37" fillId="0" borderId="0" xfId="0" applyFont="1" applyBorder="1" applyAlignment="1">
      <alignment horizontal="right" vertical="top"/>
    </xf>
    <xf numFmtId="0" fontId="37" fillId="0" borderId="5" xfId="0" applyFont="1" applyBorder="1" applyAlignment="1">
      <alignment vertical="top"/>
    </xf>
    <xf numFmtId="0" fontId="37" fillId="0" borderId="5" xfId="0" applyFont="1" applyBorder="1" applyAlignment="1">
      <alignment horizontal="center" vertical="top"/>
    </xf>
    <xf numFmtId="0" fontId="37" fillId="0" borderId="5" xfId="0" applyFont="1" applyBorder="1" applyAlignment="1"/>
    <xf numFmtId="0" fontId="37" fillId="0" borderId="1" xfId="0" applyFont="1" applyBorder="1" applyAlignment="1"/>
    <xf numFmtId="0" fontId="14" fillId="0" borderId="0" xfId="0" applyFont="1" applyBorder="1" applyAlignment="1"/>
    <xf numFmtId="0" fontId="52" fillId="0" borderId="0" xfId="0" applyFont="1" applyBorder="1" applyAlignment="1"/>
    <xf numFmtId="0" fontId="55" fillId="0" borderId="0" xfId="0" applyFont="1" applyBorder="1" applyAlignment="1"/>
    <xf numFmtId="0" fontId="37" fillId="0" borderId="64" xfId="0" applyFont="1" applyBorder="1" applyAlignment="1"/>
    <xf numFmtId="0" fontId="56" fillId="0" borderId="5" xfId="0" applyFont="1" applyBorder="1" applyAlignment="1">
      <alignment horizontal="center"/>
    </xf>
    <xf numFmtId="0" fontId="37" fillId="0" borderId="59" xfId="0" applyFont="1" applyBorder="1" applyAlignment="1"/>
    <xf numFmtId="0" fontId="37" fillId="0" borderId="87" xfId="0" applyFont="1" applyBorder="1" applyAlignment="1"/>
    <xf numFmtId="0" fontId="37" fillId="0" borderId="50" xfId="0" applyFont="1" applyBorder="1" applyAlignment="1"/>
    <xf numFmtId="0" fontId="37" fillId="0" borderId="1" xfId="0" applyFont="1" applyBorder="1" applyAlignment="1">
      <alignment vertical="center"/>
    </xf>
    <xf numFmtId="0" fontId="37" fillId="0" borderId="88" xfId="0" applyFont="1" applyBorder="1" applyAlignment="1">
      <alignment horizontal="center"/>
    </xf>
    <xf numFmtId="0" fontId="37" fillId="0" borderId="88" xfId="0" applyFont="1" applyBorder="1" applyAlignment="1"/>
    <xf numFmtId="0" fontId="37" fillId="0" borderId="0" xfId="0" applyFont="1" applyBorder="1" applyAlignment="1">
      <alignment vertical="center"/>
    </xf>
    <xf numFmtId="0" fontId="37" fillId="0" borderId="89" xfId="0" applyFont="1" applyBorder="1" applyAlignment="1"/>
    <xf numFmtId="0" fontId="37" fillId="0" borderId="89" xfId="0" applyFont="1" applyBorder="1" applyAlignment="1">
      <alignment vertical="center"/>
    </xf>
    <xf numFmtId="0" fontId="37" fillId="0" borderId="1" xfId="0" applyFont="1" applyBorder="1" applyAlignment="1">
      <alignment horizontal="right" vertical="center"/>
    </xf>
    <xf numFmtId="0" fontId="36" fillId="0" borderId="0" xfId="0" applyFont="1" applyAlignment="1">
      <alignment horizontal="center" vertical="top"/>
    </xf>
    <xf numFmtId="0" fontId="37" fillId="0" borderId="89" xfId="0" applyFont="1" applyBorder="1" applyAlignment="1">
      <alignment vertical="top"/>
    </xf>
    <xf numFmtId="166" fontId="22" fillId="0" borderId="4" xfId="0" applyNumberFormat="1" applyFont="1" applyFill="1" applyBorder="1" applyAlignment="1">
      <alignment horizontal="center" vertical="center"/>
    </xf>
    <xf numFmtId="2" fontId="56" fillId="0" borderId="0" xfId="0" applyNumberFormat="1" applyFont="1" applyBorder="1" applyAlignment="1">
      <alignment horizontal="center" vertical="top" wrapText="1"/>
    </xf>
    <xf numFmtId="2" fontId="48" fillId="0" borderId="58" xfId="0" applyNumberFormat="1" applyFont="1" applyBorder="1" applyAlignment="1">
      <alignment horizontal="distributed" vertical="top" wrapText="1" indent="1"/>
    </xf>
    <xf numFmtId="166" fontId="22" fillId="2" borderId="4" xfId="0" applyNumberFormat="1" applyFont="1" applyFill="1" applyBorder="1" applyAlignment="1">
      <alignment horizontal="center" vertical="center"/>
    </xf>
    <xf numFmtId="2" fontId="56" fillId="2" borderId="0" xfId="0" applyNumberFormat="1" applyFont="1" applyFill="1" applyBorder="1" applyAlignment="1">
      <alignment horizontal="center" vertical="top" wrapText="1"/>
    </xf>
    <xf numFmtId="2" fontId="48" fillId="2" borderId="58" xfId="0" applyNumberFormat="1" applyFont="1" applyFill="1" applyBorder="1" applyAlignment="1">
      <alignment horizontal="distributed" vertical="top" wrapText="1" indent="1"/>
    </xf>
    <xf numFmtId="166" fontId="22" fillId="0" borderId="41" xfId="0" applyNumberFormat="1" applyFont="1" applyFill="1" applyBorder="1" applyAlignment="1">
      <alignment horizontal="center" vertical="center"/>
    </xf>
    <xf numFmtId="166" fontId="22" fillId="0" borderId="54" xfId="0" applyNumberFormat="1" applyFont="1" applyFill="1" applyBorder="1" applyAlignment="1">
      <alignment horizontal="center" vertical="center"/>
    </xf>
    <xf numFmtId="2" fontId="19" fillId="2" borderId="58" xfId="0" applyNumberFormat="1" applyFont="1" applyFill="1" applyBorder="1" applyAlignment="1">
      <alignment horizontal="distributed" vertical="top" wrapText="1" indent="1"/>
    </xf>
    <xf numFmtId="166" fontId="22" fillId="2" borderId="41" xfId="0" applyNumberFormat="1" applyFont="1" applyFill="1" applyBorder="1" applyAlignment="1">
      <alignment horizontal="center" vertical="center"/>
    </xf>
    <xf numFmtId="166" fontId="22" fillId="2" borderId="54" xfId="0" applyNumberFormat="1" applyFont="1" applyFill="1" applyBorder="1" applyAlignment="1">
      <alignment horizontal="center" vertical="center"/>
    </xf>
    <xf numFmtId="2" fontId="48" fillId="2" borderId="0" xfId="0" applyNumberFormat="1" applyFont="1" applyFill="1" applyBorder="1" applyAlignment="1">
      <alignment horizontal="distributed" vertical="top" wrapText="1" indent="1"/>
    </xf>
    <xf numFmtId="2" fontId="48" fillId="0" borderId="36" xfId="0" applyNumberFormat="1" applyFont="1" applyBorder="1" applyAlignment="1">
      <alignment horizontal="distributed" vertical="center" wrapText="1" indent="1"/>
    </xf>
    <xf numFmtId="2" fontId="19" fillId="0" borderId="0" xfId="0" applyNumberFormat="1" applyFont="1" applyBorder="1" applyAlignment="1">
      <alignment horizontal="center" vertical="top" wrapText="1"/>
    </xf>
    <xf numFmtId="2" fontId="19" fillId="2" borderId="0" xfId="0" applyNumberFormat="1" applyFont="1" applyFill="1" applyBorder="1" applyAlignment="1">
      <alignment horizontal="center" vertical="top" wrapText="1"/>
    </xf>
    <xf numFmtId="166" fontId="22" fillId="0" borderId="3" xfId="0" applyNumberFormat="1" applyFont="1" applyFill="1" applyBorder="1" applyAlignment="1">
      <alignment horizontal="center" vertical="center"/>
    </xf>
    <xf numFmtId="166" fontId="22" fillId="2" borderId="3" xfId="0" applyNumberFormat="1" applyFont="1" applyFill="1" applyBorder="1" applyAlignment="1">
      <alignment horizontal="center" vertical="center"/>
    </xf>
    <xf numFmtId="2" fontId="48" fillId="0" borderId="0" xfId="0" applyNumberFormat="1" applyFont="1" applyBorder="1" applyAlignment="1">
      <alignment horizontal="distributed" vertical="top" wrapText="1" indent="1"/>
    </xf>
    <xf numFmtId="2" fontId="48" fillId="0" borderId="61" xfId="0" applyNumberFormat="1" applyFont="1" applyBorder="1" applyAlignment="1">
      <alignment horizontal="distributed" vertical="top" wrapText="1" indent="1"/>
    </xf>
    <xf numFmtId="166" fontId="22" fillId="0" borderId="10" xfId="0" applyNumberFormat="1" applyFont="1" applyFill="1" applyBorder="1" applyAlignment="1">
      <alignment horizontal="center" vertical="center"/>
    </xf>
    <xf numFmtId="166" fontId="22" fillId="0" borderId="51" xfId="0" applyNumberFormat="1" applyFont="1" applyFill="1" applyBorder="1" applyAlignment="1">
      <alignment horizontal="center" vertical="center"/>
    </xf>
    <xf numFmtId="166" fontId="22" fillId="2" borderId="1" xfId="0" applyNumberFormat="1" applyFont="1" applyFill="1" applyBorder="1" applyAlignment="1">
      <alignment horizontal="center" vertical="center"/>
    </xf>
    <xf numFmtId="166" fontId="22" fillId="2" borderId="51" xfId="0" applyNumberFormat="1" applyFont="1" applyFill="1" applyBorder="1" applyAlignment="1">
      <alignment horizontal="center" vertical="center"/>
    </xf>
    <xf numFmtId="166" fontId="22" fillId="0" borderId="42" xfId="0" applyNumberFormat="1" applyFont="1" applyFill="1" applyBorder="1" applyAlignment="1">
      <alignment horizontal="center" vertical="center"/>
    </xf>
    <xf numFmtId="166" fontId="22" fillId="0" borderId="46" xfId="0" applyNumberFormat="1" applyFont="1" applyFill="1" applyBorder="1" applyAlignment="1">
      <alignment horizontal="center" vertical="center"/>
    </xf>
    <xf numFmtId="166" fontId="22" fillId="2" borderId="46" xfId="0" applyNumberFormat="1" applyFont="1" applyFill="1" applyBorder="1" applyAlignment="1">
      <alignment horizontal="center" vertical="center"/>
    </xf>
    <xf numFmtId="2" fontId="19" fillId="0" borderId="61" xfId="0" applyNumberFormat="1" applyFont="1" applyBorder="1" applyAlignment="1">
      <alignment horizontal="center" vertical="center" wrapText="1"/>
    </xf>
    <xf numFmtId="2" fontId="19" fillId="0" borderId="61" xfId="0" applyNumberFormat="1" applyFont="1" applyBorder="1" applyAlignment="1">
      <alignment horizontal="center" vertical="center"/>
    </xf>
    <xf numFmtId="166" fontId="22" fillId="2" borderId="10" xfId="0" applyNumberFormat="1" applyFont="1" applyFill="1" applyBorder="1" applyAlignment="1">
      <alignment horizontal="center" vertical="center"/>
    </xf>
    <xf numFmtId="166" fontId="22" fillId="2" borderId="42" xfId="0" applyNumberFormat="1" applyFont="1" applyFill="1" applyBorder="1" applyAlignment="1">
      <alignment horizontal="center" vertical="center"/>
    </xf>
    <xf numFmtId="2" fontId="19" fillId="0" borderId="58" xfId="0" applyNumberFormat="1" applyFont="1" applyBorder="1" applyAlignment="1">
      <alignment horizontal="distributed" vertical="top" wrapText="1" indent="1"/>
    </xf>
    <xf numFmtId="2" fontId="19" fillId="0" borderId="36" xfId="0" applyNumberFormat="1" applyFont="1" applyBorder="1" applyAlignment="1">
      <alignment horizontal="distributed" vertical="top" wrapText="1" indent="1"/>
    </xf>
    <xf numFmtId="2" fontId="19" fillId="2" borderId="36" xfId="0" applyNumberFormat="1" applyFont="1" applyFill="1" applyBorder="1" applyAlignment="1">
      <alignment horizontal="distributed" vertical="top" wrapText="1" indent="1"/>
    </xf>
    <xf numFmtId="2" fontId="19" fillId="2" borderId="64" xfId="0" applyNumberFormat="1" applyFont="1" applyFill="1" applyBorder="1" applyAlignment="1">
      <alignment horizontal="distributed" vertical="top" wrapText="1" indent="1"/>
    </xf>
    <xf numFmtId="2" fontId="56" fillId="0" borderId="61" xfId="0" applyNumberFormat="1" applyFont="1" applyFill="1" applyBorder="1" applyAlignment="1">
      <alignment horizontal="center" vertical="top" wrapText="1"/>
    </xf>
    <xf numFmtId="2" fontId="48" fillId="0" borderId="36" xfId="0" applyNumberFormat="1" applyFont="1" applyFill="1" applyBorder="1" applyAlignment="1">
      <alignment horizontal="distributed" vertical="top" wrapText="1" indent="1"/>
    </xf>
    <xf numFmtId="2" fontId="14" fillId="0" borderId="0" xfId="0" applyNumberFormat="1" applyFont="1" applyBorder="1" applyAlignment="1">
      <alignment horizontal="center" vertical="top" wrapText="1"/>
    </xf>
    <xf numFmtId="2" fontId="53" fillId="0" borderId="18" xfId="0" applyNumberFormat="1" applyFont="1" applyFill="1" applyBorder="1" applyAlignment="1">
      <alignment horizontal="center" vertical="top" wrapText="1"/>
    </xf>
    <xf numFmtId="2" fontId="53" fillId="0" borderId="62" xfId="0" applyNumberFormat="1" applyFont="1" applyFill="1" applyBorder="1" applyAlignment="1">
      <alignment horizontal="center" vertical="top" wrapText="1"/>
    </xf>
    <xf numFmtId="2" fontId="53" fillId="0" borderId="59" xfId="0" applyNumberFormat="1" applyFont="1" applyFill="1" applyBorder="1" applyAlignment="1">
      <alignment horizontal="center" vertical="top" wrapText="1"/>
    </xf>
    <xf numFmtId="2" fontId="80" fillId="0" borderId="59" xfId="0" applyNumberFormat="1" applyFont="1" applyFill="1" applyBorder="1" applyAlignment="1">
      <alignment horizontal="center" vertical="top" wrapText="1"/>
    </xf>
    <xf numFmtId="49" fontId="14" fillId="0" borderId="52" xfId="0" applyNumberFormat="1" applyFont="1" applyFill="1" applyBorder="1" applyAlignment="1">
      <alignment horizontal="center" vertical="center"/>
    </xf>
    <xf numFmtId="0" fontId="59" fillId="0" borderId="3" xfId="0" applyFont="1" applyFill="1" applyBorder="1" applyAlignment="1">
      <alignment vertical="center"/>
    </xf>
    <xf numFmtId="2" fontId="59" fillId="0" borderId="2" xfId="0" applyNumberFormat="1" applyFont="1" applyFill="1" applyBorder="1" applyAlignment="1">
      <alignment horizontal="right" vertical="center"/>
    </xf>
    <xf numFmtId="0" fontId="34" fillId="0" borderId="5" xfId="0" applyFont="1" applyFill="1" applyBorder="1" applyAlignment="1">
      <alignment vertical="center"/>
    </xf>
    <xf numFmtId="0" fontId="34" fillId="0" borderId="5" xfId="0" applyFont="1" applyFill="1" applyBorder="1" applyAlignment="1">
      <alignment horizontal="center" vertical="center"/>
    </xf>
    <xf numFmtId="0" fontId="39" fillId="0" borderId="4" xfId="0" applyFont="1" applyFill="1" applyBorder="1" applyAlignment="1">
      <alignment vertical="center"/>
    </xf>
    <xf numFmtId="0" fontId="99" fillId="0" borderId="0" xfId="1" applyFont="1"/>
    <xf numFmtId="0" fontId="99" fillId="0" borderId="0" xfId="1" applyFont="1" applyAlignment="1">
      <alignment vertical="center"/>
    </xf>
    <xf numFmtId="0" fontId="99" fillId="0" borderId="5" xfId="1" applyFont="1" applyBorder="1" applyAlignment="1">
      <alignment vertical="center"/>
    </xf>
    <xf numFmtId="0" fontId="99" fillId="0" borderId="5" xfId="1" applyFont="1" applyBorder="1" applyAlignment="1">
      <alignment horizontal="center" vertical="center"/>
    </xf>
    <xf numFmtId="0" fontId="100" fillId="0" borderId="5" xfId="1" applyFont="1" applyBorder="1" applyAlignment="1">
      <alignment horizontal="center" vertical="center"/>
    </xf>
    <xf numFmtId="0" fontId="101" fillId="0" borderId="5" xfId="1" applyFont="1" applyBorder="1" applyAlignment="1">
      <alignment horizontal="center" vertical="center"/>
    </xf>
    <xf numFmtId="0" fontId="102" fillId="0" borderId="5" xfId="1" applyFont="1" applyBorder="1" applyAlignment="1">
      <alignment horizontal="center" vertical="center"/>
    </xf>
    <xf numFmtId="0" fontId="103" fillId="0" borderId="0" xfId="1" applyFont="1" applyAlignment="1"/>
    <xf numFmtId="0" fontId="103" fillId="0" borderId="0" xfId="1" applyFont="1" applyAlignment="1">
      <alignment vertical="center"/>
    </xf>
    <xf numFmtId="0" fontId="104" fillId="0" borderId="0" xfId="1" applyFont="1" applyAlignment="1">
      <alignment horizontal="left" vertical="center" indent="3"/>
    </xf>
    <xf numFmtId="0" fontId="29" fillId="0" borderId="0" xfId="1" applyFont="1" applyBorder="1"/>
    <xf numFmtId="0" fontId="29" fillId="0" borderId="0" xfId="1" applyFont="1"/>
    <xf numFmtId="0" fontId="98" fillId="0" borderId="0" xfId="1"/>
    <xf numFmtId="172" fontId="106" fillId="0" borderId="0" xfId="1" applyNumberFormat="1" applyFont="1"/>
    <xf numFmtId="173" fontId="106" fillId="0" borderId="0" xfId="1" applyNumberFormat="1" applyFont="1"/>
    <xf numFmtId="0" fontId="98" fillId="0" borderId="0" xfId="1" applyFont="1"/>
    <xf numFmtId="0" fontId="106" fillId="0" borderId="0" xfId="1" applyFont="1" applyBorder="1"/>
    <xf numFmtId="0" fontId="106" fillId="0" borderId="0" xfId="1" applyFont="1" applyBorder="1" applyAlignment="1">
      <alignment horizontal="right"/>
    </xf>
    <xf numFmtId="1" fontId="107" fillId="0" borderId="0" xfId="1" applyNumberFormat="1" applyFont="1" applyBorder="1" applyAlignment="1">
      <alignment horizontal="center"/>
    </xf>
    <xf numFmtId="0" fontId="106" fillId="0" borderId="0" xfId="1" applyFont="1"/>
    <xf numFmtId="0" fontId="106" fillId="0" borderId="0" xfId="1" applyFont="1" applyBorder="1" applyAlignment="1">
      <alignment vertical="center"/>
    </xf>
    <xf numFmtId="0" fontId="106" fillId="0" borderId="0" xfId="1" applyFont="1" applyAlignment="1">
      <alignment vertical="center"/>
    </xf>
    <xf numFmtId="0" fontId="58" fillId="0" borderId="0" xfId="1" applyFont="1" applyBorder="1" applyAlignment="1">
      <alignment horizontal="right" vertical="center"/>
    </xf>
    <xf numFmtId="0" fontId="106" fillId="0" borderId="0" xfId="1" applyFont="1" applyBorder="1" applyAlignment="1">
      <alignment horizontal="right" vertical="center"/>
    </xf>
    <xf numFmtId="0" fontId="39" fillId="0" borderId="0" xfId="1" applyFont="1" applyBorder="1" applyAlignment="1">
      <alignment vertical="center"/>
    </xf>
    <xf numFmtId="0" fontId="110" fillId="0" borderId="0" xfId="1" applyFont="1" applyBorder="1"/>
    <xf numFmtId="0" fontId="110" fillId="0" borderId="0" xfId="1" applyFont="1"/>
    <xf numFmtId="0" fontId="111" fillId="0" borderId="0" xfId="1" applyFont="1" applyAlignment="1">
      <alignment horizontal="left" indent="4"/>
    </xf>
    <xf numFmtId="0" fontId="111" fillId="0" borderId="0" xfId="1" applyFont="1"/>
    <xf numFmtId="0" fontId="111" fillId="0" borderId="0" xfId="1" applyFont="1" applyAlignment="1">
      <alignment horizontal="right" indent="3"/>
    </xf>
    <xf numFmtId="0" fontId="113" fillId="0" borderId="0" xfId="2" applyFont="1"/>
    <xf numFmtId="0" fontId="112" fillId="0" borderId="0" xfId="2"/>
    <xf numFmtId="0" fontId="113" fillId="0" borderId="0" xfId="2" applyFont="1" applyAlignment="1">
      <alignment horizontal="left"/>
    </xf>
    <xf numFmtId="0" fontId="113" fillId="0" borderId="0" xfId="2" applyFont="1" applyAlignment="1"/>
    <xf numFmtId="0" fontId="113" fillId="0" borderId="0" xfId="2" applyFont="1" applyAlignment="1">
      <alignment horizontal="right"/>
    </xf>
    <xf numFmtId="0" fontId="115" fillId="0" borderId="32" xfId="2" applyFont="1" applyBorder="1" applyAlignment="1">
      <alignment horizontal="center" vertical="center" wrapText="1"/>
    </xf>
    <xf numFmtId="0" fontId="113" fillId="0" borderId="32" xfId="2" applyFont="1" applyBorder="1" applyAlignment="1">
      <alignment horizontal="center" vertical="center" wrapText="1"/>
    </xf>
    <xf numFmtId="0" fontId="113" fillId="0" borderId="14" xfId="2" applyFont="1" applyBorder="1" applyAlignment="1">
      <alignment horizontal="left" vertical="center" wrapText="1" indent="1"/>
    </xf>
    <xf numFmtId="0" fontId="113" fillId="0" borderId="14" xfId="2" applyFont="1" applyBorder="1" applyAlignment="1">
      <alignment horizontal="right" vertical="center" wrapText="1" indent="1"/>
    </xf>
    <xf numFmtId="0" fontId="113" fillId="0" borderId="5" xfId="2" applyFont="1" applyBorder="1" applyAlignment="1">
      <alignment horizontal="left" vertical="center" wrapText="1" indent="1"/>
    </xf>
    <xf numFmtId="0" fontId="113" fillId="0" borderId="5" xfId="2" applyFont="1" applyBorder="1" applyAlignment="1">
      <alignment horizontal="right" vertical="center" wrapText="1" indent="1"/>
    </xf>
    <xf numFmtId="0" fontId="113" fillId="0" borderId="91" xfId="2" applyFont="1" applyBorder="1" applyAlignment="1">
      <alignment horizontal="left" vertical="center" wrapText="1" indent="1"/>
    </xf>
    <xf numFmtId="0" fontId="113" fillId="0" borderId="91" xfId="2" applyFont="1" applyBorder="1" applyAlignment="1">
      <alignment horizontal="right" vertical="center" wrapText="1" indent="1"/>
    </xf>
    <xf numFmtId="0" fontId="113" fillId="0" borderId="32" xfId="2" applyFont="1" applyBorder="1" applyAlignment="1">
      <alignment horizontal="left" vertical="center" wrapText="1" indent="1"/>
    </xf>
    <xf numFmtId="0" fontId="113" fillId="0" borderId="32" xfId="2" applyFont="1" applyBorder="1" applyAlignment="1">
      <alignment horizontal="right" vertical="center" wrapText="1" indent="1"/>
    </xf>
    <xf numFmtId="0" fontId="112" fillId="0" borderId="0" xfId="2" applyBorder="1" applyAlignment="1">
      <alignment horizontal="center" vertical="center" wrapText="1"/>
    </xf>
    <xf numFmtId="0" fontId="113" fillId="0" borderId="0" xfId="2" applyFont="1" applyBorder="1" applyAlignment="1">
      <alignment horizontal="left" vertical="center" wrapText="1" indent="1"/>
    </xf>
    <xf numFmtId="0" fontId="113" fillId="0" borderId="0" xfId="2" applyFont="1" applyBorder="1" applyAlignment="1">
      <alignment horizontal="right" vertical="center" wrapText="1" indent="1"/>
    </xf>
    <xf numFmtId="0" fontId="112" fillId="0" borderId="0" xfId="2" applyBorder="1"/>
    <xf numFmtId="0" fontId="113" fillId="0" borderId="9" xfId="2" applyFont="1" applyBorder="1" applyAlignment="1">
      <alignment horizontal="left" vertical="center" wrapText="1" indent="1"/>
    </xf>
    <xf numFmtId="0" fontId="113" fillId="0" borderId="9" xfId="2" applyFont="1" applyBorder="1" applyAlignment="1">
      <alignment horizontal="right" vertical="center" wrapText="1" indent="1"/>
    </xf>
    <xf numFmtId="0" fontId="113" fillId="0" borderId="0" xfId="2" applyFont="1" applyAlignment="1">
      <alignment horizontal="right" indent="1"/>
    </xf>
    <xf numFmtId="166" fontId="47" fillId="4" borderId="0" xfId="0" applyNumberFormat="1" applyFont="1" applyFill="1" applyAlignment="1">
      <alignment horizontal="right"/>
    </xf>
    <xf numFmtId="166" fontId="47" fillId="0" borderId="0" xfId="0" applyNumberFormat="1" applyFont="1" applyAlignment="1">
      <alignment horizontal="right"/>
    </xf>
    <xf numFmtId="166" fontId="47" fillId="0" borderId="0" xfId="0" applyNumberFormat="1" applyFont="1" applyFill="1" applyAlignment="1">
      <alignment horizontal="right" vertical="center"/>
    </xf>
    <xf numFmtId="166" fontId="34" fillId="4" borderId="0" xfId="0" applyNumberFormat="1" applyFont="1" applyFill="1" applyAlignment="1">
      <alignment horizontal="right"/>
    </xf>
    <xf numFmtId="166" fontId="34" fillId="0" borderId="0" xfId="0" applyNumberFormat="1" applyFont="1" applyAlignment="1">
      <alignment horizontal="right"/>
    </xf>
    <xf numFmtId="166" fontId="34" fillId="0" borderId="0" xfId="0" applyNumberFormat="1" applyFont="1" applyFill="1" applyAlignment="1">
      <alignment horizontal="right" vertical="center"/>
    </xf>
    <xf numFmtId="166" fontId="20" fillId="0" borderId="0" xfId="0" applyNumberFormat="1" applyFont="1" applyBorder="1" applyAlignment="1">
      <alignment horizontal="center" vertical="center" wrapText="1"/>
    </xf>
    <xf numFmtId="166" fontId="34" fillId="0" borderId="0" xfId="0" applyNumberFormat="1" applyFont="1" applyFill="1"/>
    <xf numFmtId="166" fontId="34" fillId="0" borderId="0" xfId="0" applyNumberFormat="1" applyFont="1" applyFill="1" applyAlignment="1">
      <alignment horizontal="center" vertical="center"/>
    </xf>
    <xf numFmtId="166" fontId="64" fillId="0" borderId="0" xfId="0" applyNumberFormat="1" applyFont="1"/>
    <xf numFmtId="166" fontId="118" fillId="0" borderId="0" xfId="0" applyNumberFormat="1" applyFont="1" applyFill="1" applyBorder="1" applyAlignment="1">
      <alignment horizontal="right" vertical="center"/>
    </xf>
    <xf numFmtId="166" fontId="80" fillId="0" borderId="0" xfId="0" applyNumberFormat="1" applyFont="1" applyBorder="1" applyAlignment="1">
      <alignment horizontal="right" vertical="center" wrapText="1"/>
    </xf>
    <xf numFmtId="0" fontId="117" fillId="0" borderId="0" xfId="0" applyFont="1"/>
    <xf numFmtId="0" fontId="119" fillId="0" borderId="0" xfId="0" applyFont="1" applyBorder="1" applyAlignment="1">
      <alignment horizontal="center" vertical="center" wrapText="1"/>
    </xf>
    <xf numFmtId="49" fontId="63" fillId="0" borderId="0" xfId="0" applyNumberFormat="1" applyFont="1" applyFill="1" applyBorder="1" applyAlignment="1">
      <alignment horizontal="center" vertical="center" wrapText="1"/>
    </xf>
    <xf numFmtId="171" fontId="63" fillId="0" borderId="0" xfId="0" applyNumberFormat="1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center" vertical="center" wrapText="1"/>
    </xf>
    <xf numFmtId="0" fontId="58" fillId="0" borderId="5" xfId="0" applyFont="1" applyBorder="1" applyAlignment="1">
      <alignment horizontal="center" vertical="center" wrapText="1"/>
    </xf>
    <xf numFmtId="166" fontId="120" fillId="0" borderId="0" xfId="0" applyNumberFormat="1" applyFont="1" applyFill="1" applyBorder="1" applyAlignment="1">
      <alignment horizontal="right" vertical="center" wrapText="1"/>
    </xf>
    <xf numFmtId="166" fontId="120" fillId="0" borderId="0" xfId="0" applyNumberFormat="1" applyFont="1" applyFill="1" applyAlignment="1">
      <alignment horizontal="center" vertical="center"/>
    </xf>
    <xf numFmtId="166" fontId="120" fillId="0" borderId="0" xfId="0" applyNumberFormat="1" applyFont="1" applyBorder="1" applyAlignment="1">
      <alignment horizontal="right" vertical="center" wrapText="1"/>
    </xf>
    <xf numFmtId="166" fontId="120" fillId="0" borderId="0" xfId="0" applyNumberFormat="1" applyFont="1" applyFill="1" applyAlignment="1">
      <alignment horizontal="right" vertical="center"/>
    </xf>
    <xf numFmtId="0" fontId="121" fillId="0" borderId="0" xfId="0" applyFont="1" applyBorder="1" applyAlignment="1"/>
    <xf numFmtId="0" fontId="14" fillId="0" borderId="0" xfId="0" applyFont="1" applyFill="1"/>
    <xf numFmtId="0" fontId="121" fillId="0" borderId="0" xfId="0" applyFont="1" applyBorder="1" applyAlignment="1">
      <alignment horizontal="center"/>
    </xf>
    <xf numFmtId="0" fontId="14" fillId="0" borderId="0" xfId="0" applyFont="1" applyFill="1" applyBorder="1"/>
    <xf numFmtId="47" fontId="63" fillId="0" borderId="0" xfId="0" applyNumberFormat="1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vertical="center" wrapText="1"/>
    </xf>
    <xf numFmtId="0" fontId="62" fillId="0" borderId="0" xfId="0" applyFont="1" applyFill="1" applyBorder="1" applyAlignment="1">
      <alignment vertical="center" wrapText="1"/>
    </xf>
    <xf numFmtId="0" fontId="63" fillId="0" borderId="0" xfId="0" applyFont="1" applyFill="1" applyBorder="1" applyAlignment="1"/>
    <xf numFmtId="0" fontId="58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65" fillId="0" borderId="1" xfId="0" applyFont="1" applyBorder="1" applyAlignment="1"/>
    <xf numFmtId="0" fontId="39" fillId="0" borderId="96" xfId="0" applyFont="1" applyBorder="1" applyAlignment="1"/>
    <xf numFmtId="0" fontId="13" fillId="0" borderId="0" xfId="0" applyFont="1" applyFill="1" applyAlignment="1">
      <alignment vertical="center"/>
    </xf>
    <xf numFmtId="166" fontId="54" fillId="0" borderId="0" xfId="0" applyNumberFormat="1" applyFont="1" applyAlignment="1">
      <alignment horizontal="center" vertical="center" wrapText="1"/>
    </xf>
    <xf numFmtId="0" fontId="19" fillId="0" borderId="32" xfId="0" applyFont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10" fillId="0" borderId="1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59" fillId="0" borderId="5" xfId="0" applyFont="1" applyFill="1" applyBorder="1" applyAlignment="1">
      <alignment vertical="center"/>
    </xf>
    <xf numFmtId="0" fontId="60" fillId="0" borderId="2" xfId="0" applyFont="1" applyFill="1" applyBorder="1" applyAlignment="1">
      <alignment horizontal="right" vertical="center"/>
    </xf>
    <xf numFmtId="0" fontId="40" fillId="0" borderId="5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166" fontId="78" fillId="0" borderId="44" xfId="0" applyNumberFormat="1" applyFont="1" applyBorder="1" applyAlignment="1">
      <alignment horizontal="center" vertical="center" wrapText="1"/>
    </xf>
    <xf numFmtId="0" fontId="58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1" fontId="51" fillId="0" borderId="1" xfId="0" applyNumberFormat="1" applyFont="1" applyBorder="1" applyAlignment="1">
      <alignment horizontal="center"/>
    </xf>
    <xf numFmtId="1" fontId="51" fillId="0" borderId="3" xfId="0" applyNumberFormat="1" applyFont="1" applyBorder="1" applyAlignment="1">
      <alignment horizontal="center"/>
    </xf>
    <xf numFmtId="1" fontId="7" fillId="0" borderId="41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 vertical="center" wrapText="1"/>
    </xf>
    <xf numFmtId="0" fontId="39" fillId="0" borderId="54" xfId="0" applyFont="1" applyFill="1" applyBorder="1" applyAlignment="1">
      <alignment horizontal="right" vertical="center" wrapText="1"/>
    </xf>
    <xf numFmtId="0" fontId="15" fillId="0" borderId="54" xfId="0" applyFont="1" applyFill="1" applyBorder="1" applyAlignment="1">
      <alignment horizontal="right" vertical="center" wrapText="1"/>
    </xf>
    <xf numFmtId="0" fontId="15" fillId="0" borderId="54" xfId="0" applyFont="1" applyBorder="1" applyAlignment="1">
      <alignment wrapText="1"/>
    </xf>
    <xf numFmtId="1" fontId="40" fillId="0" borderId="54" xfId="0" applyNumberFormat="1" applyFont="1" applyFill="1" applyBorder="1" applyAlignment="1">
      <alignment horizontal="right" vertical="center" wrapText="1"/>
    </xf>
    <xf numFmtId="0" fontId="37" fillId="0" borderId="52" xfId="0" applyFont="1" applyFill="1" applyBorder="1" applyAlignment="1">
      <alignment vertical="center"/>
    </xf>
    <xf numFmtId="0" fontId="37" fillId="0" borderId="3" xfId="0" applyFont="1" applyFill="1" applyBorder="1" applyAlignment="1">
      <alignment vertical="center"/>
    </xf>
    <xf numFmtId="0" fontId="37" fillId="0" borderId="2" xfId="0" applyFont="1" applyFill="1" applyBorder="1" applyAlignment="1">
      <alignment vertical="center"/>
    </xf>
    <xf numFmtId="0" fontId="37" fillId="0" borderId="4" xfId="0" applyFont="1" applyFill="1" applyBorder="1" applyAlignment="1">
      <alignment vertical="center"/>
    </xf>
    <xf numFmtId="0" fontId="37" fillId="0" borderId="52" xfId="0" applyFont="1" applyBorder="1" applyAlignment="1">
      <alignment vertical="center"/>
    </xf>
    <xf numFmtId="0" fontId="37" fillId="0" borderId="3" xfId="0" applyFont="1" applyBorder="1" applyAlignment="1">
      <alignment vertical="center"/>
    </xf>
    <xf numFmtId="0" fontId="37" fillId="0" borderId="2" xfId="0" applyFont="1" applyBorder="1" applyAlignment="1">
      <alignment vertical="center"/>
    </xf>
    <xf numFmtId="0" fontId="14" fillId="0" borderId="4" xfId="0" applyFont="1" applyBorder="1" applyAlignment="1">
      <alignment vertical="center"/>
    </xf>
    <xf numFmtId="0" fontId="37" fillId="0" borderId="4" xfId="0" applyFont="1" applyBorder="1" applyAlignment="1">
      <alignment vertical="center"/>
    </xf>
    <xf numFmtId="0" fontId="28" fillId="0" borderId="0" xfId="0" applyFont="1" applyFill="1"/>
    <xf numFmtId="0" fontId="46" fillId="0" borderId="0" xfId="0" applyFont="1" applyFill="1"/>
    <xf numFmtId="0" fontId="37" fillId="0" borderId="3" xfId="0" applyFont="1" applyBorder="1" applyAlignment="1"/>
    <xf numFmtId="0" fontId="37" fillId="0" borderId="53" xfId="0" applyFont="1" applyBorder="1" applyAlignment="1"/>
    <xf numFmtId="1" fontId="40" fillId="0" borderId="56" xfId="0" applyNumberFormat="1" applyFont="1" applyFill="1" applyBorder="1" applyAlignment="1">
      <alignment horizontal="right" vertical="center" wrapText="1"/>
    </xf>
    <xf numFmtId="0" fontId="37" fillId="0" borderId="55" xfId="0" applyFont="1" applyBorder="1" applyAlignment="1">
      <alignment vertical="center"/>
    </xf>
    <xf numFmtId="0" fontId="37" fillId="0" borderId="49" xfId="0" applyFont="1" applyBorder="1" applyAlignment="1">
      <alignment vertical="center"/>
    </xf>
    <xf numFmtId="0" fontId="37" fillId="0" borderId="34" xfId="0" applyFont="1" applyBorder="1" applyAlignment="1">
      <alignment vertical="center"/>
    </xf>
    <xf numFmtId="0" fontId="14" fillId="0" borderId="40" xfId="0" applyFont="1" applyBorder="1" applyAlignment="1">
      <alignment vertical="center"/>
    </xf>
    <xf numFmtId="0" fontId="37" fillId="0" borderId="49" xfId="0" applyFont="1" applyBorder="1" applyAlignment="1"/>
    <xf numFmtId="0" fontId="37" fillId="0" borderId="57" xfId="0" applyFont="1" applyBorder="1" applyAlignment="1"/>
    <xf numFmtId="2" fontId="51" fillId="0" borderId="0" xfId="0" applyNumberFormat="1" applyFont="1"/>
    <xf numFmtId="0" fontId="37" fillId="0" borderId="53" xfId="0" applyFont="1" applyFill="1" applyBorder="1" applyAlignment="1">
      <alignment vertical="center"/>
    </xf>
    <xf numFmtId="0" fontId="37" fillId="0" borderId="53" xfId="0" applyFont="1" applyBorder="1" applyAlignment="1">
      <alignment vertical="center"/>
    </xf>
    <xf numFmtId="0" fontId="39" fillId="0" borderId="3" xfId="0" applyFont="1" applyFill="1" applyBorder="1" applyAlignment="1">
      <alignment vertical="center"/>
    </xf>
    <xf numFmtId="0" fontId="39" fillId="0" borderId="53" xfId="0" applyFont="1" applyFill="1" applyBorder="1" applyAlignment="1">
      <alignment vertical="center"/>
    </xf>
    <xf numFmtId="0" fontId="56" fillId="0" borderId="3" xfId="0" applyFont="1" applyBorder="1" applyAlignment="1">
      <alignment vertical="center"/>
    </xf>
    <xf numFmtId="0" fontId="56" fillId="0" borderId="3" xfId="0" applyFont="1" applyBorder="1" applyAlignment="1"/>
    <xf numFmtId="0" fontId="56" fillId="0" borderId="53" xfId="0" applyFont="1" applyBorder="1" applyAlignment="1"/>
    <xf numFmtId="0" fontId="29" fillId="0" borderId="52" xfId="0" applyFont="1" applyBorder="1" applyAlignment="1"/>
    <xf numFmtId="0" fontId="29" fillId="0" borderId="3" xfId="0" applyFont="1" applyBorder="1" applyAlignment="1"/>
    <xf numFmtId="0" fontId="29" fillId="0" borderId="2" xfId="0" applyFont="1" applyBorder="1" applyAlignment="1"/>
    <xf numFmtId="0" fontId="29" fillId="0" borderId="4" xfId="0" applyFont="1" applyBorder="1" applyAlignment="1"/>
    <xf numFmtId="0" fontId="29" fillId="0" borderId="53" xfId="0" applyFont="1" applyBorder="1" applyAlignment="1"/>
    <xf numFmtId="0" fontId="39" fillId="0" borderId="40" xfId="0" applyFont="1" applyFill="1" applyBorder="1" applyAlignment="1">
      <alignment vertical="center"/>
    </xf>
    <xf numFmtId="0" fontId="39" fillId="0" borderId="49" xfId="0" applyFont="1" applyFill="1" applyBorder="1" applyAlignment="1">
      <alignment vertical="center"/>
    </xf>
    <xf numFmtId="0" fontId="39" fillId="0" borderId="57" xfId="0" applyFont="1" applyFill="1" applyBorder="1" applyAlignment="1">
      <alignment vertical="center"/>
    </xf>
    <xf numFmtId="0" fontId="37" fillId="0" borderId="5" xfId="0" applyFont="1" applyBorder="1" applyAlignment="1">
      <alignment vertical="center"/>
    </xf>
    <xf numFmtId="0" fontId="39" fillId="0" borderId="5" xfId="0" applyFont="1" applyFill="1" applyBorder="1" applyAlignment="1">
      <alignment vertical="center"/>
    </xf>
    <xf numFmtId="0" fontId="39" fillId="0" borderId="29" xfId="0" applyFont="1" applyFill="1" applyBorder="1" applyAlignment="1">
      <alignment vertical="center"/>
    </xf>
    <xf numFmtId="0" fontId="39" fillId="0" borderId="52" xfId="0" applyFont="1" applyFill="1" applyBorder="1" applyAlignment="1">
      <alignment vertical="center"/>
    </xf>
    <xf numFmtId="0" fontId="39" fillId="0" borderId="2" xfId="0" applyFont="1" applyFill="1" applyBorder="1" applyAlignment="1">
      <alignment vertical="center"/>
    </xf>
    <xf numFmtId="0" fontId="13" fillId="0" borderId="4" xfId="0" applyFont="1" applyFill="1" applyBorder="1" applyAlignment="1">
      <alignment vertical="center"/>
    </xf>
    <xf numFmtId="0" fontId="13" fillId="0" borderId="3" xfId="0" applyFont="1" applyFill="1" applyBorder="1" applyAlignment="1">
      <alignment vertical="center"/>
    </xf>
    <xf numFmtId="0" fontId="13" fillId="0" borderId="53" xfId="0" applyFont="1" applyFill="1" applyBorder="1" applyAlignment="1">
      <alignment vertical="center"/>
    </xf>
    <xf numFmtId="0" fontId="37" fillId="0" borderId="29" xfId="0" applyFont="1" applyBorder="1" applyAlignment="1">
      <alignment vertical="center"/>
    </xf>
    <xf numFmtId="0" fontId="56" fillId="0" borderId="2" xfId="0" applyFont="1" applyBorder="1" applyAlignment="1">
      <alignment vertical="center"/>
    </xf>
    <xf numFmtId="0" fontId="56" fillId="0" borderId="52" xfId="0" applyFont="1" applyBorder="1" applyAlignment="1">
      <alignment vertical="center"/>
    </xf>
    <xf numFmtId="0" fontId="51" fillId="0" borderId="0" xfId="0" applyFont="1" applyAlignment="1">
      <alignment horizontal="right"/>
    </xf>
    <xf numFmtId="0" fontId="39" fillId="0" borderId="0" xfId="0" applyFont="1" applyAlignment="1">
      <alignment horizontal="right" vertical="center"/>
    </xf>
    <xf numFmtId="166" fontId="40" fillId="0" borderId="96" xfId="0" applyNumberFormat="1" applyFont="1" applyFill="1" applyBorder="1" applyAlignment="1">
      <alignment vertical="center"/>
    </xf>
    <xf numFmtId="166" fontId="3" fillId="0" borderId="3" xfId="0" applyNumberFormat="1" applyFont="1" applyFill="1" applyBorder="1" applyAlignment="1">
      <alignment vertical="center"/>
    </xf>
    <xf numFmtId="166" fontId="3" fillId="0" borderId="49" xfId="0" applyNumberFormat="1" applyFont="1" applyFill="1" applyBorder="1" applyAlignment="1">
      <alignment vertical="center"/>
    </xf>
    <xf numFmtId="166" fontId="3" fillId="0" borderId="46" xfId="0" applyNumberFormat="1" applyFont="1" applyFill="1" applyBorder="1" applyAlignment="1">
      <alignment vertical="center"/>
    </xf>
    <xf numFmtId="166" fontId="3" fillId="0" borderId="91" xfId="0" applyNumberFormat="1" applyFont="1" applyFill="1" applyBorder="1" applyAlignment="1">
      <alignment vertical="center"/>
    </xf>
    <xf numFmtId="166" fontId="11" fillId="0" borderId="22" xfId="0" applyNumberFormat="1" applyFont="1" applyFill="1" applyBorder="1" applyAlignment="1">
      <alignment horizontal="center" vertical="center" wrapText="1"/>
    </xf>
    <xf numFmtId="166" fontId="3" fillId="0" borderId="7" xfId="0" applyNumberFormat="1" applyFont="1" applyFill="1" applyBorder="1" applyAlignment="1">
      <alignment vertical="center"/>
    </xf>
    <xf numFmtId="166" fontId="11" fillId="0" borderId="19" xfId="0" applyNumberFormat="1" applyFont="1" applyFill="1" applyBorder="1" applyAlignment="1">
      <alignment horizontal="center" vertical="center"/>
    </xf>
    <xf numFmtId="166" fontId="33" fillId="0" borderId="74" xfId="0" applyNumberFormat="1" applyFont="1" applyFill="1" applyBorder="1" applyAlignment="1">
      <alignment horizontal="center" vertical="center"/>
    </xf>
    <xf numFmtId="166" fontId="11" fillId="0" borderId="13" xfId="0" applyNumberFormat="1" applyFont="1" applyFill="1" applyBorder="1" applyAlignment="1">
      <alignment horizontal="center" vertical="center" wrapText="1"/>
    </xf>
    <xf numFmtId="0" fontId="31" fillId="0" borderId="0" xfId="0" applyFont="1" applyAlignment="1">
      <alignment vertical="center"/>
    </xf>
    <xf numFmtId="1" fontId="39" fillId="7" borderId="58" xfId="0" applyNumberFormat="1" applyFont="1" applyFill="1" applyBorder="1" applyAlignment="1">
      <alignment horizontal="center" vertical="center"/>
    </xf>
    <xf numFmtId="0" fontId="30" fillId="7" borderId="32" xfId="0" applyNumberFormat="1" applyFont="1" applyFill="1" applyBorder="1" applyAlignment="1">
      <alignment horizontal="center" vertical="center"/>
    </xf>
    <xf numFmtId="1" fontId="30" fillId="7" borderId="32" xfId="0" applyNumberFormat="1" applyFont="1" applyFill="1" applyBorder="1" applyAlignment="1">
      <alignment horizontal="center" vertical="center"/>
    </xf>
    <xf numFmtId="175" fontId="13" fillId="0" borderId="0" xfId="3" applyNumberFormat="1" applyFont="1" applyFill="1" applyAlignment="1">
      <alignment horizontal="right" vertical="center"/>
    </xf>
    <xf numFmtId="0" fontId="13" fillId="0" borderId="0" xfId="0" applyFont="1" applyAlignment="1">
      <alignment horizontal="right"/>
    </xf>
    <xf numFmtId="0" fontId="14" fillId="0" borderId="0" xfId="0" applyFont="1" applyFill="1" applyAlignment="1">
      <alignment horizontal="center" vertical="center" wrapText="1"/>
    </xf>
    <xf numFmtId="166" fontId="36" fillId="11" borderId="0" xfId="0" applyNumberFormat="1" applyFont="1" applyFill="1" applyAlignment="1">
      <alignment horizontal="center" vertical="center" wrapText="1"/>
    </xf>
    <xf numFmtId="166" fontId="54" fillId="11" borderId="0" xfId="0" applyNumberFormat="1" applyFont="1" applyFill="1" applyAlignment="1">
      <alignment horizontal="center" vertical="center" wrapText="1"/>
    </xf>
    <xf numFmtId="0" fontId="77" fillId="11" borderId="0" xfId="0" applyFont="1" applyFill="1" applyAlignment="1">
      <alignment horizontal="center" vertical="center"/>
    </xf>
    <xf numFmtId="0" fontId="13" fillId="11" borderId="0" xfId="0" applyFont="1" applyFill="1" applyAlignment="1">
      <alignment horizontal="center" vertical="center"/>
    </xf>
    <xf numFmtId="0" fontId="13" fillId="11" borderId="0" xfId="0" applyFont="1" applyFill="1"/>
    <xf numFmtId="0" fontId="77" fillId="11" borderId="0" xfId="0" applyFont="1" applyFill="1" applyAlignment="1">
      <alignment vertical="center"/>
    </xf>
    <xf numFmtId="166" fontId="13" fillId="11" borderId="0" xfId="0" applyNumberFormat="1" applyFont="1" applyFill="1" applyAlignment="1">
      <alignment horizontal="center" vertical="center"/>
    </xf>
    <xf numFmtId="0" fontId="14" fillId="11" borderId="0" xfId="0" applyFont="1" applyFill="1"/>
    <xf numFmtId="166" fontId="120" fillId="5" borderId="65" xfId="0" applyNumberFormat="1" applyFont="1" applyFill="1" applyBorder="1" applyAlignment="1">
      <alignment horizontal="right" vertical="center" wrapText="1"/>
    </xf>
    <xf numFmtId="0" fontId="127" fillId="0" borderId="0" xfId="0" applyFont="1" applyAlignment="1">
      <alignment horizontal="center" vertical="center"/>
    </xf>
    <xf numFmtId="0" fontId="130" fillId="0" borderId="2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19" fillId="0" borderId="25" xfId="0" applyFont="1" applyBorder="1" applyAlignment="1">
      <alignment horizontal="center" vertical="center" wrapText="1"/>
    </xf>
    <xf numFmtId="0" fontId="119" fillId="10" borderId="25" xfId="0" applyFont="1" applyFill="1" applyBorder="1" applyAlignment="1">
      <alignment horizontal="center" vertical="center" wrapText="1"/>
    </xf>
    <xf numFmtId="171" fontId="133" fillId="0" borderId="25" xfId="0" applyNumberFormat="1" applyFont="1" applyBorder="1" applyAlignment="1">
      <alignment horizontal="center" vertical="center" wrapText="1"/>
    </xf>
    <xf numFmtId="2" fontId="132" fillId="0" borderId="25" xfId="0" applyNumberFormat="1" applyFont="1" applyFill="1" applyBorder="1" applyAlignment="1">
      <alignment horizontal="center" vertical="center" wrapText="1"/>
    </xf>
    <xf numFmtId="2" fontId="132" fillId="0" borderId="25" xfId="0" applyNumberFormat="1" applyFont="1" applyBorder="1" applyAlignment="1">
      <alignment horizontal="center" vertical="center" wrapText="1"/>
    </xf>
    <xf numFmtId="171" fontId="132" fillId="9" borderId="25" xfId="0" applyNumberFormat="1" applyFont="1" applyFill="1" applyBorder="1" applyAlignment="1">
      <alignment horizontal="center" vertical="center" wrapText="1"/>
    </xf>
    <xf numFmtId="2" fontId="132" fillId="6" borderId="25" xfId="0" applyNumberFormat="1" applyFont="1" applyFill="1" applyBorder="1" applyAlignment="1">
      <alignment horizontal="center" vertical="center" wrapText="1"/>
    </xf>
    <xf numFmtId="0" fontId="133" fillId="0" borderId="14" xfId="0" applyFont="1" applyBorder="1" applyAlignment="1">
      <alignment horizontal="center" vertical="center" wrapText="1"/>
    </xf>
    <xf numFmtId="171" fontId="133" fillId="0" borderId="14" xfId="0" applyNumberFormat="1" applyFont="1" applyBorder="1" applyAlignment="1">
      <alignment horizontal="center" vertical="center" wrapText="1"/>
    </xf>
    <xf numFmtId="171" fontId="132" fillId="9" borderId="14" xfId="0" applyNumberFormat="1" applyFont="1" applyFill="1" applyBorder="1" applyAlignment="1">
      <alignment horizontal="center" vertical="center" wrapText="1"/>
    </xf>
    <xf numFmtId="171" fontId="132" fillId="0" borderId="14" xfId="0" applyNumberFormat="1" applyFont="1" applyBorder="1" applyAlignment="1">
      <alignment horizontal="center" vertical="center" wrapText="1"/>
    </xf>
    <xf numFmtId="171" fontId="132" fillId="6" borderId="14" xfId="0" applyNumberFormat="1" applyFont="1" applyFill="1" applyBorder="1" applyAlignment="1">
      <alignment horizontal="center" vertical="center" wrapText="1"/>
    </xf>
    <xf numFmtId="0" fontId="133" fillId="0" borderId="38" xfId="0" applyFont="1" applyBorder="1" applyAlignment="1">
      <alignment horizontal="center" vertical="center" wrapText="1"/>
    </xf>
    <xf numFmtId="171" fontId="133" fillId="0" borderId="38" xfId="0" applyNumberFormat="1" applyFont="1" applyBorder="1" applyAlignment="1">
      <alignment horizontal="center" vertical="center" wrapText="1"/>
    </xf>
    <xf numFmtId="49" fontId="132" fillId="0" borderId="38" xfId="0" applyNumberFormat="1" applyFont="1" applyFill="1" applyBorder="1" applyAlignment="1">
      <alignment horizontal="center" vertical="center" wrapText="1"/>
    </xf>
    <xf numFmtId="49" fontId="132" fillId="0" borderId="38" xfId="0" applyNumberFormat="1" applyFont="1" applyBorder="1" applyAlignment="1">
      <alignment horizontal="center" vertical="center" wrapText="1"/>
    </xf>
    <xf numFmtId="49" fontId="132" fillId="6" borderId="38" xfId="0" applyNumberFormat="1" applyFont="1" applyFill="1" applyBorder="1" applyAlignment="1">
      <alignment horizontal="center" vertical="center" wrapText="1"/>
    </xf>
    <xf numFmtId="49" fontId="132" fillId="10" borderId="38" xfId="0" applyNumberFormat="1" applyFont="1" applyFill="1" applyBorder="1" applyAlignment="1">
      <alignment horizontal="center" vertical="center" wrapText="1"/>
    </xf>
    <xf numFmtId="49" fontId="132" fillId="0" borderId="14" xfId="0" applyNumberFormat="1" applyFont="1" applyBorder="1" applyAlignment="1">
      <alignment horizontal="center" vertical="center" wrapText="1"/>
    </xf>
    <xf numFmtId="49" fontId="132" fillId="10" borderId="14" xfId="0" applyNumberFormat="1" applyFont="1" applyFill="1" applyBorder="1" applyAlignment="1">
      <alignment horizontal="center" vertical="center" wrapText="1"/>
    </xf>
    <xf numFmtId="0" fontId="133" fillId="0" borderId="25" xfId="0" applyFont="1" applyBorder="1" applyAlignment="1">
      <alignment horizontal="center" vertical="center" wrapText="1"/>
    </xf>
    <xf numFmtId="171" fontId="132" fillId="0" borderId="25" xfId="0" applyNumberFormat="1" applyFont="1" applyBorder="1" applyAlignment="1">
      <alignment horizontal="center" vertical="center" wrapText="1"/>
    </xf>
    <xf numFmtId="49" fontId="132" fillId="0" borderId="25" xfId="0" applyNumberFormat="1" applyFont="1" applyBorder="1" applyAlignment="1">
      <alignment horizontal="center" vertical="center" wrapText="1"/>
    </xf>
    <xf numFmtId="49" fontId="132" fillId="0" borderId="25" xfId="0" applyNumberFormat="1" applyFont="1" applyFill="1" applyBorder="1" applyAlignment="1">
      <alignment horizontal="center" vertical="center" wrapText="1"/>
    </xf>
    <xf numFmtId="49" fontId="132" fillId="6" borderId="25" xfId="0" applyNumberFormat="1" applyFont="1" applyFill="1" applyBorder="1" applyAlignment="1">
      <alignment horizontal="center" vertical="center" wrapText="1"/>
    </xf>
    <xf numFmtId="47" fontId="132" fillId="0" borderId="14" xfId="0" applyNumberFormat="1" applyFont="1" applyBorder="1" applyAlignment="1">
      <alignment horizontal="center" vertical="center" wrapText="1"/>
    </xf>
    <xf numFmtId="47" fontId="132" fillId="9" borderId="14" xfId="0" applyNumberFormat="1" applyFont="1" applyFill="1" applyBorder="1" applyAlignment="1">
      <alignment horizontal="center" vertical="center" wrapText="1"/>
    </xf>
    <xf numFmtId="171" fontId="132" fillId="9" borderId="38" xfId="0" applyNumberFormat="1" applyFont="1" applyFill="1" applyBorder="1" applyAlignment="1">
      <alignment horizontal="center" vertical="center" wrapText="1"/>
    </xf>
    <xf numFmtId="171" fontId="132" fillId="10" borderId="14" xfId="0" applyNumberFormat="1" applyFont="1" applyFill="1" applyBorder="1" applyAlignment="1">
      <alignment horizontal="center" vertical="center" wrapText="1"/>
    </xf>
    <xf numFmtId="171" fontId="132" fillId="10" borderId="38" xfId="0" applyNumberFormat="1" applyFont="1" applyFill="1" applyBorder="1" applyAlignment="1">
      <alignment horizontal="center" vertical="center" wrapText="1"/>
    </xf>
    <xf numFmtId="0" fontId="127" fillId="0" borderId="0" xfId="0" applyFont="1" applyAlignment="1">
      <alignment horizontal="center"/>
    </xf>
    <xf numFmtId="0" fontId="127" fillId="0" borderId="0" xfId="0" applyFont="1" applyAlignment="1">
      <alignment horizontal="center" vertical="top"/>
    </xf>
    <xf numFmtId="49" fontId="127" fillId="0" borderId="0" xfId="0" applyNumberFormat="1" applyFont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37" fillId="0" borderId="0" xfId="0" applyFont="1" applyAlignment="1">
      <alignment horizontal="left"/>
    </xf>
    <xf numFmtId="0" fontId="37" fillId="0" borderId="0" xfId="0" applyFont="1" applyAlignment="1">
      <alignment horizontal="center"/>
    </xf>
    <xf numFmtId="0" fontId="88" fillId="0" borderId="0" xfId="0" applyFont="1" applyAlignment="1">
      <alignment horizontal="center"/>
    </xf>
    <xf numFmtId="0" fontId="37" fillId="0" borderId="3" xfId="0" applyFont="1" applyBorder="1"/>
    <xf numFmtId="166" fontId="3" fillId="7" borderId="2" xfId="0" applyNumberFormat="1" applyFont="1" applyFill="1" applyBorder="1" applyAlignment="1">
      <alignment horizontal="center" vertical="center" wrapText="1"/>
    </xf>
    <xf numFmtId="0" fontId="88" fillId="0" borderId="0" xfId="0" applyFont="1" applyAlignment="1">
      <alignment horizontal="left"/>
    </xf>
    <xf numFmtId="0" fontId="56" fillId="0" borderId="0" xfId="0" applyFont="1" applyAlignment="1">
      <alignment horizontal="right"/>
    </xf>
    <xf numFmtId="0" fontId="37" fillId="0" borderId="0" xfId="0" applyFont="1" applyAlignment="1">
      <alignment horizontal="right"/>
    </xf>
    <xf numFmtId="0" fontId="37" fillId="0" borderId="96" xfId="0" applyFont="1" applyBorder="1" applyAlignment="1"/>
    <xf numFmtId="2" fontId="55" fillId="0" borderId="96" xfId="0" applyNumberFormat="1" applyFont="1" applyBorder="1" applyAlignment="1"/>
    <xf numFmtId="0" fontId="37" fillId="0" borderId="96" xfId="0" applyFont="1" applyBorder="1"/>
    <xf numFmtId="2" fontId="122" fillId="0" borderId="96" xfId="0" applyNumberFormat="1" applyFont="1" applyBorder="1"/>
    <xf numFmtId="0" fontId="96" fillId="0" borderId="0" xfId="0" applyFont="1" applyBorder="1" applyAlignment="1">
      <alignment horizontal="center"/>
    </xf>
    <xf numFmtId="0" fontId="96" fillId="0" borderId="0" xfId="0" applyFont="1" applyBorder="1" applyAlignment="1">
      <alignment horizontal="left"/>
    </xf>
    <xf numFmtId="0" fontId="88" fillId="0" borderId="96" xfId="0" applyFont="1" applyBorder="1"/>
    <xf numFmtId="0" fontId="96" fillId="0" borderId="96" xfId="0" applyFont="1" applyBorder="1" applyAlignment="1">
      <alignment horizontal="center"/>
    </xf>
    <xf numFmtId="0" fontId="88" fillId="0" borderId="3" xfId="0" applyFont="1" applyBorder="1"/>
    <xf numFmtId="0" fontId="55" fillId="0" borderId="3" xfId="0" applyFont="1" applyBorder="1"/>
    <xf numFmtId="0" fontId="39" fillId="0" borderId="0" xfId="0" applyFont="1" applyFill="1" applyBorder="1" applyAlignment="1">
      <alignment horizontal="left" vertical="center"/>
    </xf>
    <xf numFmtId="0" fontId="55" fillId="0" borderId="0" xfId="0" applyFont="1"/>
    <xf numFmtId="0" fontId="39" fillId="0" borderId="0" xfId="0" applyFont="1" applyFill="1" applyBorder="1" applyAlignment="1">
      <alignment horizontal="left" vertical="center" indent="2"/>
    </xf>
    <xf numFmtId="0" fontId="136" fillId="0" borderId="5" xfId="0" applyFont="1" applyBorder="1" applyAlignment="1">
      <alignment horizontal="center"/>
    </xf>
    <xf numFmtId="0" fontId="37" fillId="0" borderId="0" xfId="0" applyFont="1" applyBorder="1" applyAlignment="1">
      <alignment horizontal="left"/>
    </xf>
    <xf numFmtId="0" fontId="37" fillId="0" borderId="0" xfId="0" applyFont="1" applyBorder="1" applyAlignment="1">
      <alignment horizontal="center"/>
    </xf>
    <xf numFmtId="0" fontId="37" fillId="0" borderId="70" xfId="0" applyFont="1" applyBorder="1" applyAlignment="1">
      <alignment horizontal="center"/>
    </xf>
    <xf numFmtId="0" fontId="96" fillId="0" borderId="65" xfId="0" applyFont="1" applyBorder="1" applyAlignment="1">
      <alignment horizontal="left" indent="1"/>
    </xf>
    <xf numFmtId="0" fontId="79" fillId="0" borderId="0" xfId="0" applyFont="1" applyBorder="1" applyAlignment="1"/>
    <xf numFmtId="0" fontId="37" fillId="0" borderId="66" xfId="0" applyFont="1" applyBorder="1" applyAlignment="1"/>
    <xf numFmtId="0" fontId="37" fillId="0" borderId="91" xfId="0" applyFont="1" applyBorder="1" applyAlignment="1">
      <alignment horizontal="center"/>
    </xf>
    <xf numFmtId="0" fontId="79" fillId="0" borderId="96" xfId="0" applyFont="1" applyBorder="1" applyAlignment="1"/>
    <xf numFmtId="0" fontId="37" fillId="0" borderId="94" xfId="0" applyFont="1" applyBorder="1" applyAlignment="1"/>
    <xf numFmtId="0" fontId="137" fillId="0" borderId="96" xfId="0" applyFont="1" applyBorder="1" applyAlignment="1">
      <alignment horizontal="left"/>
    </xf>
    <xf numFmtId="0" fontId="37" fillId="0" borderId="0" xfId="0" applyFont="1" applyBorder="1" applyAlignment="1">
      <alignment vertical="center" wrapText="1"/>
    </xf>
    <xf numFmtId="0" fontId="37" fillId="0" borderId="5" xfId="0" applyFont="1" applyBorder="1" applyAlignment="1">
      <alignment vertical="center" wrapText="1"/>
    </xf>
    <xf numFmtId="0" fontId="51" fillId="0" borderId="0" xfId="0" applyFont="1" applyBorder="1" applyAlignment="1"/>
    <xf numFmtId="0" fontId="55" fillId="0" borderId="0" xfId="0" applyFont="1" applyAlignment="1">
      <alignment horizontal="right" wrapText="1"/>
    </xf>
    <xf numFmtId="0" fontId="96" fillId="0" borderId="95" xfId="0" applyFont="1" applyBorder="1" applyAlignment="1">
      <alignment horizontal="left" indent="1"/>
    </xf>
    <xf numFmtId="0" fontId="96" fillId="0" borderId="7" xfId="0" applyFont="1" applyBorder="1" applyAlignment="1">
      <alignment horizontal="left" indent="1"/>
    </xf>
    <xf numFmtId="0" fontId="79" fillId="0" borderId="6" xfId="0" applyFont="1" applyBorder="1" applyAlignment="1"/>
    <xf numFmtId="0" fontId="37" fillId="0" borderId="6" xfId="0" applyFont="1" applyBorder="1" applyAlignment="1"/>
    <xf numFmtId="0" fontId="37" fillId="0" borderId="8" xfId="0" applyFont="1" applyBorder="1" applyAlignment="1"/>
    <xf numFmtId="0" fontId="37" fillId="0" borderId="9" xfId="0" applyFont="1" applyBorder="1" applyAlignment="1">
      <alignment horizontal="center"/>
    </xf>
    <xf numFmtId="0" fontId="43" fillId="7" borderId="0" xfId="0" applyFont="1" applyFill="1" applyBorder="1" applyAlignment="1">
      <alignment horizontal="left" vertical="center"/>
    </xf>
    <xf numFmtId="0" fontId="44" fillId="7" borderId="50" xfId="0" applyFont="1" applyFill="1" applyBorder="1" applyAlignment="1">
      <alignment vertical="center"/>
    </xf>
    <xf numFmtId="0" fontId="44" fillId="7" borderId="75" xfId="0" applyFont="1" applyFill="1" applyBorder="1" applyAlignment="1">
      <alignment vertical="center"/>
    </xf>
    <xf numFmtId="166" fontId="3" fillId="7" borderId="3" xfId="0" applyNumberFormat="1" applyFont="1" applyFill="1" applyBorder="1" applyAlignment="1">
      <alignment horizontal="center" vertical="center" wrapText="1"/>
    </xf>
    <xf numFmtId="0" fontId="44" fillId="7" borderId="58" xfId="0" applyFont="1" applyFill="1" applyBorder="1" applyAlignment="1">
      <alignment horizontal="center" vertical="center"/>
    </xf>
    <xf numFmtId="166" fontId="3" fillId="7" borderId="49" xfId="0" applyNumberFormat="1" applyFont="1" applyFill="1" applyBorder="1" applyAlignment="1">
      <alignment horizontal="center" vertical="center" wrapText="1"/>
    </xf>
    <xf numFmtId="0" fontId="72" fillId="7" borderId="0" xfId="0" applyFont="1" applyFill="1" applyAlignment="1">
      <alignment horizontal="left" vertical="center" wrapText="1"/>
    </xf>
    <xf numFmtId="0" fontId="59" fillId="0" borderId="0" xfId="0" applyFont="1" applyFill="1" applyBorder="1" applyAlignment="1">
      <alignment horizontal="left" vertical="center" wrapText="1"/>
    </xf>
    <xf numFmtId="0" fontId="19" fillId="0" borderId="14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0" borderId="19" xfId="0" applyFont="1" applyBorder="1" applyAlignment="1">
      <alignment vertical="center" textRotation="90"/>
    </xf>
    <xf numFmtId="0" fontId="19" fillId="0" borderId="13" xfId="0" applyFont="1" applyBorder="1" applyAlignment="1">
      <alignment vertical="center" textRotation="90"/>
    </xf>
    <xf numFmtId="0" fontId="44" fillId="7" borderId="75" xfId="0" applyFont="1" applyFill="1" applyBorder="1" applyAlignment="1">
      <alignment horizontal="center" vertical="center"/>
    </xf>
    <xf numFmtId="0" fontId="40" fillId="0" borderId="96" xfId="0" applyFont="1" applyFill="1" applyBorder="1" applyAlignment="1">
      <alignment vertical="center"/>
    </xf>
    <xf numFmtId="166" fontId="12" fillId="7" borderId="0" xfId="0" applyNumberFormat="1" applyFont="1" applyFill="1" applyBorder="1" applyAlignment="1">
      <alignment horizontal="center" vertical="center" wrapText="1"/>
    </xf>
    <xf numFmtId="166" fontId="33" fillId="0" borderId="91" xfId="0" applyNumberFormat="1" applyFont="1" applyFill="1" applyBorder="1" applyAlignment="1">
      <alignment horizontal="center" vertical="center"/>
    </xf>
    <xf numFmtId="166" fontId="3" fillId="0" borderId="76" xfId="0" applyNumberFormat="1" applyFont="1" applyFill="1" applyBorder="1" applyAlignment="1">
      <alignment vertical="center"/>
    </xf>
    <xf numFmtId="0" fontId="44" fillId="7" borderId="0" xfId="0" applyFont="1" applyFill="1" applyBorder="1" applyAlignment="1">
      <alignment horizontal="center" vertical="center"/>
    </xf>
    <xf numFmtId="166" fontId="33" fillId="0" borderId="76" xfId="0" applyNumberFormat="1" applyFont="1" applyFill="1" applyBorder="1" applyAlignment="1">
      <alignment horizontal="center" vertical="center"/>
    </xf>
    <xf numFmtId="166" fontId="3" fillId="0" borderId="95" xfId="0" applyNumberFormat="1" applyFont="1" applyFill="1" applyBorder="1" applyAlignment="1">
      <alignment vertical="center"/>
    </xf>
    <xf numFmtId="166" fontId="3" fillId="0" borderId="96" xfId="0" applyNumberFormat="1" applyFont="1" applyFill="1" applyBorder="1" applyAlignment="1">
      <alignment vertical="center"/>
    </xf>
    <xf numFmtId="0" fontId="0" fillId="0" borderId="96" xfId="0" applyBorder="1" applyAlignment="1">
      <alignment vertical="center"/>
    </xf>
    <xf numFmtId="0" fontId="2" fillId="0" borderId="96" xfId="0" applyFont="1" applyFill="1" applyBorder="1" applyAlignment="1">
      <alignment horizontal="center" vertical="center"/>
    </xf>
    <xf numFmtId="166" fontId="33" fillId="0" borderId="24" xfId="0" applyNumberFormat="1" applyFont="1" applyBorder="1" applyAlignment="1">
      <alignment horizontal="center" vertical="center" textRotation="90" wrapText="1"/>
    </xf>
    <xf numFmtId="166" fontId="33" fillId="0" borderId="18" xfId="0" applyNumberFormat="1" applyFont="1" applyBorder="1" applyAlignment="1">
      <alignment horizontal="center" vertical="center" textRotation="90" wrapText="1"/>
    </xf>
    <xf numFmtId="1" fontId="33" fillId="0" borderId="5" xfId="0" applyNumberFormat="1" applyFont="1" applyFill="1" applyBorder="1" applyAlignment="1">
      <alignment horizontal="center" vertical="center"/>
    </xf>
    <xf numFmtId="1" fontId="19" fillId="0" borderId="29" xfId="0" applyNumberFormat="1" applyFont="1" applyFill="1" applyBorder="1" applyAlignment="1">
      <alignment horizontal="center" vertical="center"/>
    </xf>
    <xf numFmtId="1" fontId="19" fillId="0" borderId="33" xfId="0" applyNumberFormat="1" applyFont="1" applyFill="1" applyBorder="1" applyAlignment="1">
      <alignment horizontal="center" vertical="center"/>
    </xf>
    <xf numFmtId="1" fontId="7" fillId="0" borderId="2" xfId="0" applyNumberFormat="1" applyFont="1" applyFill="1" applyBorder="1" applyAlignment="1">
      <alignment horizontal="center" vertical="center"/>
    </xf>
    <xf numFmtId="1" fontId="7" fillId="0" borderId="34" xfId="0" applyNumberFormat="1" applyFont="1" applyFill="1" applyBorder="1" applyAlignment="1">
      <alignment horizontal="center" vertical="center"/>
    </xf>
    <xf numFmtId="1" fontId="7" fillId="0" borderId="28" xfId="0" applyNumberFormat="1" applyFont="1" applyFill="1" applyBorder="1" applyAlignment="1">
      <alignment horizontal="center" vertical="center"/>
    </xf>
    <xf numFmtId="1" fontId="7" fillId="0" borderId="31" xfId="0" applyNumberFormat="1" applyFont="1" applyFill="1" applyBorder="1" applyAlignment="1">
      <alignment horizontal="center" vertical="center"/>
    </xf>
    <xf numFmtId="1" fontId="33" fillId="0" borderId="29" xfId="0" applyNumberFormat="1" applyFont="1" applyFill="1" applyBorder="1" applyAlignment="1">
      <alignment horizontal="center" vertical="center"/>
    </xf>
    <xf numFmtId="166" fontId="33" fillId="0" borderId="90" xfId="0" applyNumberFormat="1" applyFont="1" applyFill="1" applyBorder="1" applyAlignment="1">
      <alignment horizontal="center" vertical="center"/>
    </xf>
    <xf numFmtId="1" fontId="33" fillId="0" borderId="32" xfId="0" applyNumberFormat="1" applyFont="1" applyFill="1" applyBorder="1" applyAlignment="1">
      <alignment horizontal="center" vertical="center"/>
    </xf>
    <xf numFmtId="0" fontId="19" fillId="0" borderId="71" xfId="0" applyFont="1" applyBorder="1" applyAlignment="1">
      <alignment vertical="center" textRotation="90"/>
    </xf>
    <xf numFmtId="166" fontId="78" fillId="0" borderId="66" xfId="0" applyNumberFormat="1" applyFont="1" applyBorder="1" applyAlignment="1">
      <alignment horizontal="center" vertical="center" wrapText="1"/>
    </xf>
    <xf numFmtId="166" fontId="33" fillId="0" borderId="66" xfId="0" applyNumberFormat="1" applyFont="1" applyBorder="1" applyAlignment="1">
      <alignment horizontal="center" vertical="center" textRotation="90" wrapText="1"/>
    </xf>
    <xf numFmtId="166" fontId="33" fillId="0" borderId="0" xfId="0" applyNumberFormat="1" applyFont="1" applyBorder="1" applyAlignment="1">
      <alignment horizontal="center" vertical="center" textRotation="90" wrapText="1"/>
    </xf>
    <xf numFmtId="166" fontId="33" fillId="0" borderId="71" xfId="0" applyNumberFormat="1" applyFont="1" applyBorder="1" applyAlignment="1">
      <alignment horizontal="center" vertical="center" textRotation="90" wrapText="1"/>
    </xf>
    <xf numFmtId="166" fontId="33" fillId="0" borderId="87" xfId="0" applyNumberFormat="1" applyFont="1" applyBorder="1" applyAlignment="1">
      <alignment horizontal="center" vertical="center" textRotation="90" wrapText="1"/>
    </xf>
    <xf numFmtId="0" fontId="67" fillId="0" borderId="35" xfId="0" applyFont="1" applyFill="1" applyBorder="1" applyAlignment="1">
      <alignment horizontal="center" vertical="center" textRotation="90"/>
    </xf>
    <xf numFmtId="1" fontId="33" fillId="0" borderId="91" xfId="0" applyNumberFormat="1" applyFont="1" applyFill="1" applyBorder="1" applyAlignment="1">
      <alignment horizontal="center" vertical="center"/>
    </xf>
    <xf numFmtId="0" fontId="19" fillId="0" borderId="14" xfId="0" applyFont="1" applyBorder="1" applyAlignment="1">
      <alignment horizontal="left" vertical="center"/>
    </xf>
    <xf numFmtId="1" fontId="19" fillId="0" borderId="16" xfId="0" applyNumberFormat="1" applyFont="1" applyFill="1" applyBorder="1" applyAlignment="1">
      <alignment horizontal="center" vertical="center"/>
    </xf>
    <xf numFmtId="1" fontId="7" fillId="0" borderId="26" xfId="0" applyNumberFormat="1" applyFont="1" applyFill="1" applyBorder="1" applyAlignment="1">
      <alignment horizontal="center" vertical="center"/>
    </xf>
    <xf numFmtId="1" fontId="7" fillId="0" borderId="76" xfId="0" applyNumberFormat="1" applyFont="1" applyFill="1" applyBorder="1" applyAlignment="1">
      <alignment horizontal="center" vertical="center"/>
    </xf>
    <xf numFmtId="1" fontId="33" fillId="0" borderId="14" xfId="0" applyNumberFormat="1" applyFont="1" applyFill="1" applyBorder="1" applyAlignment="1">
      <alignment horizontal="center" vertical="center"/>
    </xf>
    <xf numFmtId="166" fontId="16" fillId="0" borderId="14" xfId="0" applyNumberFormat="1" applyFont="1" applyFill="1" applyBorder="1" applyAlignment="1">
      <alignment horizontal="center" vertical="center"/>
    </xf>
    <xf numFmtId="1" fontId="33" fillId="0" borderId="16" xfId="0" applyNumberFormat="1" applyFont="1" applyFill="1" applyBorder="1" applyAlignment="1">
      <alignment horizontal="center" vertical="center"/>
    </xf>
    <xf numFmtId="1" fontId="33" fillId="0" borderId="39" xfId="0" applyNumberFormat="1" applyFont="1" applyFill="1" applyBorder="1" applyAlignment="1">
      <alignment horizontal="center" vertical="center"/>
    </xf>
    <xf numFmtId="1" fontId="33" fillId="0" borderId="4" xfId="0" applyNumberFormat="1" applyFont="1" applyFill="1" applyBorder="1" applyAlignment="1">
      <alignment horizontal="center" vertical="center"/>
    </xf>
    <xf numFmtId="1" fontId="33" fillId="0" borderId="40" xfId="0" applyNumberFormat="1" applyFont="1" applyFill="1" applyBorder="1" applyAlignment="1">
      <alignment horizontal="center" vertical="center"/>
    </xf>
    <xf numFmtId="1" fontId="3" fillId="0" borderId="41" xfId="0" applyNumberFormat="1" applyFont="1" applyFill="1" applyBorder="1" applyAlignment="1">
      <alignment horizontal="center" vertical="center"/>
    </xf>
    <xf numFmtId="1" fontId="3" fillId="0" borderId="54" xfId="0" applyNumberFormat="1" applyFont="1" applyFill="1" applyBorder="1" applyAlignment="1">
      <alignment horizontal="center" vertical="center"/>
    </xf>
    <xf numFmtId="1" fontId="3" fillId="0" borderId="56" xfId="0" applyNumberFormat="1" applyFont="1" applyFill="1" applyBorder="1" applyAlignment="1">
      <alignment horizontal="center" vertical="center"/>
    </xf>
    <xf numFmtId="1" fontId="33" fillId="0" borderId="76" xfId="0" applyNumberFormat="1" applyFont="1" applyFill="1" applyBorder="1" applyAlignment="1">
      <alignment horizontal="center" vertical="center"/>
    </xf>
    <xf numFmtId="1" fontId="33" fillId="0" borderId="2" xfId="0" applyNumberFormat="1" applyFont="1" applyFill="1" applyBorder="1" applyAlignment="1">
      <alignment horizontal="center" vertical="center"/>
    </xf>
    <xf numFmtId="1" fontId="33" fillId="0" borderId="34" xfId="0" applyNumberFormat="1" applyFont="1" applyFill="1" applyBorder="1" applyAlignment="1">
      <alignment horizontal="center" vertical="center"/>
    </xf>
    <xf numFmtId="0" fontId="37" fillId="0" borderId="5" xfId="0" applyFont="1" applyBorder="1" applyAlignment="1">
      <alignment horizontal="right"/>
    </xf>
    <xf numFmtId="0" fontId="96" fillId="0" borderId="5" xfId="0" applyFont="1" applyBorder="1" applyAlignment="1">
      <alignment horizontal="center"/>
    </xf>
    <xf numFmtId="0" fontId="37" fillId="0" borderId="5" xfId="0" applyFont="1" applyBorder="1" applyAlignment="1">
      <alignment horizontal="center"/>
    </xf>
    <xf numFmtId="0" fontId="13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119" fillId="0" borderId="22" xfId="0" applyFont="1" applyBorder="1" applyAlignment="1">
      <alignment horizontal="center" vertical="center" wrapText="1"/>
    </xf>
    <xf numFmtId="0" fontId="130" fillId="0" borderId="25" xfId="0" applyFont="1" applyBorder="1" applyAlignment="1">
      <alignment horizontal="center" vertical="center" wrapText="1"/>
    </xf>
    <xf numFmtId="0" fontId="126" fillId="0" borderId="0" xfId="0" applyFont="1" applyBorder="1" applyAlignment="1">
      <alignment horizontal="left"/>
    </xf>
    <xf numFmtId="0" fontId="5" fillId="0" borderId="2" xfId="0" applyNumberFormat="1" applyFont="1" applyFill="1" applyBorder="1" applyAlignment="1">
      <alignment horizontal="center" vertical="center"/>
    </xf>
    <xf numFmtId="2" fontId="61" fillId="0" borderId="0" xfId="0" applyNumberFormat="1" applyFont="1" applyFill="1" applyAlignment="1">
      <alignment horizontal="right" vertical="center"/>
    </xf>
    <xf numFmtId="1" fontId="5" fillId="0" borderId="5" xfId="0" applyNumberFormat="1" applyFont="1" applyFill="1" applyBorder="1" applyAlignment="1">
      <alignment horizontal="center" vertical="center" wrapText="1"/>
    </xf>
    <xf numFmtId="0" fontId="61" fillId="0" borderId="0" xfId="0" applyFont="1" applyFill="1" applyBorder="1" applyAlignment="1">
      <alignment horizontal="right" vertical="center"/>
    </xf>
    <xf numFmtId="0" fontId="13" fillId="0" borderId="0" xfId="0" applyFont="1" applyFill="1" applyAlignment="1">
      <alignment vertical="center"/>
    </xf>
    <xf numFmtId="170" fontId="58" fillId="0" borderId="0" xfId="1" applyNumberFormat="1" applyFont="1"/>
    <xf numFmtId="0" fontId="58" fillId="0" borderId="0" xfId="1" applyFont="1"/>
    <xf numFmtId="0" fontId="58" fillId="0" borderId="0" xfId="1" applyFont="1" applyFill="1"/>
    <xf numFmtId="0" fontId="119" fillId="0" borderId="73" xfId="0" applyFont="1" applyBorder="1" applyAlignment="1">
      <alignment horizontal="center" vertical="center" wrapText="1"/>
    </xf>
    <xf numFmtId="0" fontId="138" fillId="0" borderId="70" xfId="0" applyFont="1" applyBorder="1" applyAlignment="1">
      <alignment horizontal="center" vertical="center" wrapText="1"/>
    </xf>
    <xf numFmtId="49" fontId="132" fillId="10" borderId="32" xfId="0" applyNumberFormat="1" applyFont="1" applyFill="1" applyBorder="1" applyAlignment="1">
      <alignment horizontal="center" vertical="center" wrapText="1"/>
    </xf>
    <xf numFmtId="49" fontId="132" fillId="6" borderId="32" xfId="0" applyNumberFormat="1" applyFont="1" applyFill="1" applyBorder="1" applyAlignment="1">
      <alignment horizontal="center" vertical="center" wrapText="1"/>
    </xf>
    <xf numFmtId="171" fontId="132" fillId="0" borderId="91" xfId="0" applyNumberFormat="1" applyFont="1" applyBorder="1" applyAlignment="1">
      <alignment horizontal="center" vertical="center" wrapText="1"/>
    </xf>
    <xf numFmtId="2" fontId="132" fillId="12" borderId="25" xfId="0" applyNumberFormat="1" applyFont="1" applyFill="1" applyBorder="1" applyAlignment="1">
      <alignment horizontal="center" vertical="center" wrapText="1"/>
    </xf>
    <xf numFmtId="171" fontId="132" fillId="12" borderId="14" xfId="0" applyNumberFormat="1" applyFont="1" applyFill="1" applyBorder="1" applyAlignment="1">
      <alignment horizontal="center" vertical="center" wrapText="1"/>
    </xf>
    <xf numFmtId="49" fontId="132" fillId="12" borderId="38" xfId="0" applyNumberFormat="1" applyFont="1" applyFill="1" applyBorder="1" applyAlignment="1">
      <alignment horizontal="center" vertical="center" wrapText="1"/>
    </xf>
    <xf numFmtId="49" fontId="132" fillId="12" borderId="14" xfId="0" applyNumberFormat="1" applyFont="1" applyFill="1" applyBorder="1" applyAlignment="1">
      <alignment horizontal="center" vertical="center" wrapText="1"/>
    </xf>
    <xf numFmtId="171" fontId="132" fillId="12" borderId="25" xfId="0" applyNumberFormat="1" applyFont="1" applyFill="1" applyBorder="1" applyAlignment="1">
      <alignment horizontal="center" vertical="center" wrapText="1"/>
    </xf>
    <xf numFmtId="49" fontId="132" fillId="12" borderId="25" xfId="0" applyNumberFormat="1" applyFont="1" applyFill="1" applyBorder="1" applyAlignment="1">
      <alignment horizontal="center" vertical="center" wrapText="1"/>
    </xf>
    <xf numFmtId="171" fontId="132" fillId="12" borderId="38" xfId="0" applyNumberFormat="1" applyFont="1" applyFill="1" applyBorder="1" applyAlignment="1">
      <alignment horizontal="center" vertical="center" wrapText="1"/>
    </xf>
    <xf numFmtId="171" fontId="132" fillId="0" borderId="70" xfId="0" applyNumberFormat="1" applyFont="1" applyBorder="1" applyAlignment="1">
      <alignment vertical="center" wrapText="1"/>
    </xf>
    <xf numFmtId="0" fontId="0" fillId="12" borderId="0" xfId="0" applyFont="1" applyFill="1" applyAlignment="1">
      <alignment horizontal="center" vertical="center"/>
    </xf>
    <xf numFmtId="0" fontId="130" fillId="12" borderId="23" xfId="0" applyFont="1" applyFill="1" applyBorder="1" applyAlignment="1">
      <alignment horizontal="center" vertical="center" wrapText="1"/>
    </xf>
    <xf numFmtId="171" fontId="132" fillId="12" borderId="72" xfId="0" applyNumberFormat="1" applyFont="1" applyFill="1" applyBorder="1" applyAlignment="1">
      <alignment vertical="center" wrapText="1"/>
    </xf>
    <xf numFmtId="171" fontId="132" fillId="12" borderId="23" xfId="0" applyNumberFormat="1" applyFont="1" applyFill="1" applyBorder="1" applyAlignment="1">
      <alignment horizontal="center" vertical="center" wrapText="1"/>
    </xf>
    <xf numFmtId="171" fontId="132" fillId="12" borderId="16" xfId="0" applyNumberFormat="1" applyFont="1" applyFill="1" applyBorder="1" applyAlignment="1">
      <alignment horizontal="center" vertical="center" wrapText="1"/>
    </xf>
    <xf numFmtId="49" fontId="132" fillId="12" borderId="33" xfId="0" applyNumberFormat="1" applyFont="1" applyFill="1" applyBorder="1" applyAlignment="1">
      <alignment horizontal="center" vertical="center" wrapText="1"/>
    </xf>
    <xf numFmtId="171" fontId="132" fillId="12" borderId="92" xfId="0" applyNumberFormat="1" applyFont="1" applyFill="1" applyBorder="1" applyAlignment="1">
      <alignment horizontal="center" vertical="center" wrapText="1"/>
    </xf>
    <xf numFmtId="49" fontId="132" fillId="12" borderId="45" xfId="0" applyNumberFormat="1" applyFont="1" applyFill="1" applyBorder="1" applyAlignment="1">
      <alignment horizontal="center" vertical="center" wrapText="1"/>
    </xf>
    <xf numFmtId="49" fontId="132" fillId="12" borderId="16" xfId="0" applyNumberFormat="1" applyFont="1" applyFill="1" applyBorder="1" applyAlignment="1">
      <alignment horizontal="center" vertical="center" wrapText="1"/>
    </xf>
    <xf numFmtId="49" fontId="132" fillId="12" borderId="23" xfId="0" applyNumberFormat="1" applyFont="1" applyFill="1" applyBorder="1" applyAlignment="1">
      <alignment horizontal="center" vertical="center" wrapText="1"/>
    </xf>
    <xf numFmtId="47" fontId="132" fillId="12" borderId="16" xfId="0" applyNumberFormat="1" applyFont="1" applyFill="1" applyBorder="1" applyAlignment="1">
      <alignment horizontal="center" vertical="center" wrapText="1"/>
    </xf>
    <xf numFmtId="171" fontId="132" fillId="12" borderId="45" xfId="0" applyNumberFormat="1" applyFont="1" applyFill="1" applyBorder="1" applyAlignment="1">
      <alignment horizontal="center" vertical="center" wrapText="1"/>
    </xf>
    <xf numFmtId="0" fontId="130" fillId="12" borderId="25" xfId="0" applyFont="1" applyFill="1" applyBorder="1" applyAlignment="1">
      <alignment horizontal="center" vertical="center" wrapText="1"/>
    </xf>
    <xf numFmtId="171" fontId="132" fillId="12" borderId="70" xfId="0" applyNumberFormat="1" applyFont="1" applyFill="1" applyBorder="1" applyAlignment="1">
      <alignment vertical="center" wrapText="1"/>
    </xf>
    <xf numFmtId="49" fontId="132" fillId="12" borderId="32" xfId="0" applyNumberFormat="1" applyFont="1" applyFill="1" applyBorder="1" applyAlignment="1">
      <alignment horizontal="center" vertical="center" wrapText="1"/>
    </xf>
    <xf numFmtId="171" fontId="132" fillId="12" borderId="91" xfId="0" applyNumberFormat="1" applyFont="1" applyFill="1" applyBorder="1" applyAlignment="1">
      <alignment horizontal="center" vertical="center" wrapText="1"/>
    </xf>
    <xf numFmtId="47" fontId="132" fillId="12" borderId="14" xfId="0" applyNumberFormat="1" applyFont="1" applyFill="1" applyBorder="1" applyAlignment="1">
      <alignment horizontal="center" vertical="center" wrapText="1"/>
    </xf>
    <xf numFmtId="49" fontId="132" fillId="12" borderId="99" xfId="0" applyNumberFormat="1" applyFont="1" applyFill="1" applyBorder="1" applyAlignment="1">
      <alignment horizontal="center" vertical="center" wrapText="1"/>
    </xf>
    <xf numFmtId="0" fontId="58" fillId="0" borderId="2" xfId="0" applyFont="1" applyBorder="1" applyAlignment="1">
      <alignment horizontal="left" vertical="center"/>
    </xf>
    <xf numFmtId="14" fontId="58" fillId="0" borderId="5" xfId="0" applyNumberFormat="1" applyFont="1" applyBorder="1" applyAlignment="1">
      <alignment horizontal="center" vertical="center"/>
    </xf>
    <xf numFmtId="176" fontId="19" fillId="0" borderId="2" xfId="0" applyNumberFormat="1" applyFont="1" applyBorder="1" applyAlignment="1">
      <alignment horizontal="center" vertical="center"/>
    </xf>
    <xf numFmtId="176" fontId="19" fillId="0" borderId="94" xfId="0" applyNumberFormat="1" applyFont="1" applyBorder="1" applyAlignment="1">
      <alignment horizontal="center" vertical="center"/>
    </xf>
    <xf numFmtId="176" fontId="19" fillId="0" borderId="32" xfId="0" applyNumberFormat="1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19" fillId="0" borderId="39" xfId="0" applyFont="1" applyBorder="1" applyAlignment="1">
      <alignment horizontal="right" vertical="center"/>
    </xf>
    <xf numFmtId="0" fontId="19" fillId="0" borderId="4" xfId="0" applyFont="1" applyBorder="1" applyAlignment="1">
      <alignment horizontal="right" vertical="center"/>
    </xf>
    <xf numFmtId="0" fontId="19" fillId="0" borderId="40" xfId="0" applyFont="1" applyBorder="1" applyAlignment="1">
      <alignment horizontal="right" vertical="center"/>
    </xf>
    <xf numFmtId="0" fontId="19" fillId="0" borderId="10" xfId="0" applyFont="1" applyBorder="1" applyAlignment="1">
      <alignment horizontal="right" vertical="center"/>
    </xf>
    <xf numFmtId="0" fontId="7" fillId="0" borderId="76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  <xf numFmtId="0" fontId="7" fillId="0" borderId="34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13" fillId="0" borderId="0" xfId="0" applyFont="1" applyFill="1" applyAlignment="1">
      <alignment vertical="center"/>
    </xf>
    <xf numFmtId="0" fontId="127" fillId="0" borderId="0" xfId="4" applyFont="1" applyAlignment="1">
      <alignment horizontal="center" vertical="center"/>
    </xf>
    <xf numFmtId="0" fontId="126" fillId="0" borderId="0" xfId="4" applyFont="1" applyBorder="1" applyAlignment="1">
      <alignment horizontal="left"/>
    </xf>
    <xf numFmtId="0" fontId="130" fillId="0" borderId="0" xfId="4" applyFont="1" applyBorder="1" applyAlignment="1">
      <alignment horizontal="left"/>
    </xf>
    <xf numFmtId="0" fontId="130" fillId="0" borderId="25" xfId="4" applyFont="1" applyBorder="1" applyAlignment="1">
      <alignment horizontal="center" vertical="center" wrapText="1"/>
    </xf>
    <xf numFmtId="0" fontId="130" fillId="0" borderId="23" xfId="4" applyFont="1" applyBorder="1" applyAlignment="1">
      <alignment horizontal="center" vertical="center" wrapText="1"/>
    </xf>
    <xf numFmtId="0" fontId="130" fillId="0" borderId="22" xfId="4" applyFont="1" applyBorder="1" applyAlignment="1">
      <alignment horizontal="center" vertical="center" wrapText="1"/>
    </xf>
    <xf numFmtId="0" fontId="119" fillId="0" borderId="73" xfId="4" applyFont="1" applyBorder="1" applyAlignment="1">
      <alignment horizontal="center" vertical="center" wrapText="1"/>
    </xf>
    <xf numFmtId="0" fontId="138" fillId="0" borderId="70" xfId="4" applyFont="1" applyBorder="1" applyAlignment="1">
      <alignment horizontal="center" vertical="center" wrapText="1"/>
    </xf>
    <xf numFmtId="0" fontId="139" fillId="0" borderId="0" xfId="4" applyFont="1" applyAlignment="1">
      <alignment horizontal="center" vertical="center"/>
    </xf>
    <xf numFmtId="0" fontId="119" fillId="0" borderId="22" xfId="4" applyFont="1" applyBorder="1" applyAlignment="1">
      <alignment horizontal="center" vertical="center" wrapText="1"/>
    </xf>
    <xf numFmtId="0" fontId="119" fillId="0" borderId="25" xfId="4" applyFont="1" applyBorder="1" applyAlignment="1">
      <alignment horizontal="center" vertical="center" wrapText="1"/>
    </xf>
    <xf numFmtId="0" fontId="119" fillId="10" borderId="25" xfId="4" applyFont="1" applyFill="1" applyBorder="1" applyAlignment="1">
      <alignment horizontal="center" vertical="center" wrapText="1"/>
    </xf>
    <xf numFmtId="171" fontId="133" fillId="0" borderId="25" xfId="4" applyNumberFormat="1" applyFont="1" applyBorder="1" applyAlignment="1">
      <alignment horizontal="center" vertical="center" wrapText="1"/>
    </xf>
    <xf numFmtId="2" fontId="132" fillId="13" borderId="25" xfId="4" applyNumberFormat="1" applyFont="1" applyFill="1" applyBorder="1" applyAlignment="1">
      <alignment horizontal="center" vertical="center" wrapText="1"/>
    </xf>
    <xf numFmtId="171" fontId="132" fillId="9" borderId="25" xfId="4" applyNumberFormat="1" applyFont="1" applyFill="1" applyBorder="1" applyAlignment="1">
      <alignment horizontal="center" vertical="center" wrapText="1"/>
    </xf>
    <xf numFmtId="171" fontId="132" fillId="9" borderId="23" xfId="4" applyNumberFormat="1" applyFont="1" applyFill="1" applyBorder="1" applyAlignment="1">
      <alignment horizontal="center" vertical="center" wrapText="1"/>
    </xf>
    <xf numFmtId="2" fontId="132" fillId="0" borderId="25" xfId="4" applyNumberFormat="1" applyFont="1" applyFill="1" applyBorder="1" applyAlignment="1">
      <alignment horizontal="center" vertical="center" wrapText="1"/>
    </xf>
    <xf numFmtId="2" fontId="132" fillId="0" borderId="25" xfId="4" applyNumberFormat="1" applyFont="1" applyBorder="1" applyAlignment="1">
      <alignment horizontal="center" vertical="center" wrapText="1"/>
    </xf>
    <xf numFmtId="2" fontId="132" fillId="6" borderId="25" xfId="4" applyNumberFormat="1" applyFont="1" applyFill="1" applyBorder="1" applyAlignment="1">
      <alignment horizontal="center" vertical="center" wrapText="1"/>
    </xf>
    <xf numFmtId="0" fontId="133" fillId="0" borderId="14" xfId="4" applyFont="1" applyBorder="1" applyAlignment="1">
      <alignment horizontal="center" vertical="center" wrapText="1"/>
    </xf>
    <xf numFmtId="171" fontId="133" fillId="0" borderId="14" xfId="4" applyNumberFormat="1" applyFont="1" applyBorder="1" applyAlignment="1">
      <alignment horizontal="center" vertical="center" wrapText="1"/>
    </xf>
    <xf numFmtId="171" fontId="132" fillId="9" borderId="14" xfId="4" applyNumberFormat="1" applyFont="1" applyFill="1" applyBorder="1" applyAlignment="1">
      <alignment horizontal="center" vertical="center" wrapText="1"/>
    </xf>
    <xf numFmtId="171" fontId="132" fillId="0" borderId="14" xfId="4" applyNumberFormat="1" applyFont="1" applyBorder="1" applyAlignment="1">
      <alignment horizontal="center" vertical="center" wrapText="1"/>
    </xf>
    <xf numFmtId="171" fontId="132" fillId="6" borderId="14" xfId="4" applyNumberFormat="1" applyFont="1" applyFill="1" applyBorder="1" applyAlignment="1">
      <alignment horizontal="center" vertical="center" wrapText="1"/>
    </xf>
    <xf numFmtId="171" fontId="132" fillId="9" borderId="16" xfId="4" applyNumberFormat="1" applyFont="1" applyFill="1" applyBorder="1" applyAlignment="1">
      <alignment horizontal="center" vertical="center" wrapText="1"/>
    </xf>
    <xf numFmtId="0" fontId="133" fillId="0" borderId="38" xfId="4" applyFont="1" applyBorder="1" applyAlignment="1">
      <alignment horizontal="center" vertical="center" wrapText="1"/>
    </xf>
    <xf numFmtId="171" fontId="133" fillId="0" borderId="38" xfId="4" applyNumberFormat="1" applyFont="1" applyBorder="1" applyAlignment="1">
      <alignment horizontal="center" vertical="center" wrapText="1"/>
    </xf>
    <xf numFmtId="49" fontId="132" fillId="13" borderId="38" xfId="4" applyNumberFormat="1" applyFont="1" applyFill="1" applyBorder="1" applyAlignment="1">
      <alignment horizontal="center" vertical="center" wrapText="1"/>
    </xf>
    <xf numFmtId="49" fontId="132" fillId="0" borderId="38" xfId="4" applyNumberFormat="1" applyFont="1" applyBorder="1" applyAlignment="1">
      <alignment horizontal="center" vertical="center" wrapText="1"/>
    </xf>
    <xf numFmtId="49" fontId="132" fillId="6" borderId="38" xfId="4" applyNumberFormat="1" applyFont="1" applyFill="1" applyBorder="1" applyAlignment="1">
      <alignment horizontal="center" vertical="center" wrapText="1"/>
    </xf>
    <xf numFmtId="49" fontId="132" fillId="10" borderId="32" xfId="4" applyNumberFormat="1" applyFont="1" applyFill="1" applyBorder="1" applyAlignment="1">
      <alignment horizontal="center" vertical="center" wrapText="1"/>
    </xf>
    <xf numFmtId="49" fontId="132" fillId="10" borderId="33" xfId="4" applyNumberFormat="1" applyFont="1" applyFill="1" applyBorder="1" applyAlignment="1">
      <alignment horizontal="center" vertical="center" wrapText="1"/>
    </xf>
    <xf numFmtId="171" fontId="132" fillId="13" borderId="14" xfId="4" applyNumberFormat="1" applyFont="1" applyFill="1" applyBorder="1" applyAlignment="1">
      <alignment horizontal="center" vertical="center" wrapText="1"/>
    </xf>
    <xf numFmtId="171" fontId="132" fillId="0" borderId="16" xfId="4" applyNumberFormat="1" applyFont="1" applyBorder="1" applyAlignment="1">
      <alignment horizontal="center" vertical="center" wrapText="1"/>
    </xf>
    <xf numFmtId="49" fontId="132" fillId="0" borderId="99" xfId="4" applyNumberFormat="1" applyFont="1" applyBorder="1" applyAlignment="1">
      <alignment horizontal="center" vertical="center" wrapText="1"/>
    </xf>
    <xf numFmtId="49" fontId="132" fillId="6" borderId="32" xfId="4" applyNumberFormat="1" applyFont="1" applyFill="1" applyBorder="1" applyAlignment="1">
      <alignment horizontal="center" vertical="center" wrapText="1"/>
    </xf>
    <xf numFmtId="49" fontId="132" fillId="6" borderId="33" xfId="4" applyNumberFormat="1" applyFont="1" applyFill="1" applyBorder="1" applyAlignment="1">
      <alignment horizontal="center" vertical="center" wrapText="1"/>
    </xf>
    <xf numFmtId="49" fontId="132" fillId="6" borderId="45" xfId="4" applyNumberFormat="1" applyFont="1" applyFill="1" applyBorder="1" applyAlignment="1">
      <alignment horizontal="center" vertical="center" wrapText="1"/>
    </xf>
    <xf numFmtId="49" fontId="132" fillId="0" borderId="38" xfId="4" applyNumberFormat="1" applyFont="1" applyFill="1" applyBorder="1" applyAlignment="1">
      <alignment horizontal="center" vertical="center" wrapText="1"/>
    </xf>
    <xf numFmtId="49" fontId="132" fillId="10" borderId="38" xfId="4" applyNumberFormat="1" applyFont="1" applyFill="1" applyBorder="1" applyAlignment="1">
      <alignment horizontal="center" vertical="center" wrapText="1"/>
    </xf>
    <xf numFmtId="49" fontId="132" fillId="10" borderId="45" xfId="4" applyNumberFormat="1" applyFont="1" applyFill="1" applyBorder="1" applyAlignment="1">
      <alignment horizontal="center" vertical="center" wrapText="1"/>
    </xf>
    <xf numFmtId="49" fontId="132" fillId="0" borderId="14" xfId="4" applyNumberFormat="1" applyFont="1" applyBorder="1" applyAlignment="1">
      <alignment horizontal="center" vertical="center" wrapText="1"/>
    </xf>
    <xf numFmtId="49" fontId="132" fillId="10" borderId="14" xfId="4" applyNumberFormat="1" applyFont="1" applyFill="1" applyBorder="1" applyAlignment="1">
      <alignment horizontal="center" vertical="center" wrapText="1"/>
    </xf>
    <xf numFmtId="49" fontId="132" fillId="13" borderId="14" xfId="4" applyNumberFormat="1" applyFont="1" applyFill="1" applyBorder="1" applyAlignment="1">
      <alignment horizontal="center" vertical="center" wrapText="1"/>
    </xf>
    <xf numFmtId="49" fontId="132" fillId="0" borderId="16" xfId="4" applyNumberFormat="1" applyFont="1" applyBorder="1" applyAlignment="1">
      <alignment horizontal="center" vertical="center" wrapText="1"/>
    </xf>
    <xf numFmtId="49" fontId="132" fillId="10" borderId="16" xfId="4" applyNumberFormat="1" applyFont="1" applyFill="1" applyBorder="1" applyAlignment="1">
      <alignment horizontal="center" vertical="center" wrapText="1"/>
    </xf>
    <xf numFmtId="0" fontId="133" fillId="0" borderId="25" xfId="4" applyFont="1" applyBorder="1" applyAlignment="1">
      <alignment horizontal="center" vertical="center" wrapText="1"/>
    </xf>
    <xf numFmtId="171" fontId="132" fillId="0" borderId="25" xfId="4" applyNumberFormat="1" applyFont="1" applyBorder="1" applyAlignment="1">
      <alignment horizontal="center" vertical="center" wrapText="1"/>
    </xf>
    <xf numFmtId="49" fontId="132" fillId="0" borderId="25" xfId="4" applyNumberFormat="1" applyFont="1" applyBorder="1" applyAlignment="1">
      <alignment horizontal="center" vertical="center" wrapText="1"/>
    </xf>
    <xf numFmtId="49" fontId="132" fillId="0" borderId="23" xfId="4" applyNumberFormat="1" applyFont="1" applyBorder="1" applyAlignment="1">
      <alignment horizontal="center" vertical="center" wrapText="1"/>
    </xf>
    <xf numFmtId="49" fontId="132" fillId="0" borderId="25" xfId="4" applyNumberFormat="1" applyFont="1" applyFill="1" applyBorder="1" applyAlignment="1">
      <alignment horizontal="center" vertical="center" wrapText="1"/>
    </xf>
    <xf numFmtId="49" fontId="132" fillId="6" borderId="25" xfId="4" applyNumberFormat="1" applyFont="1" applyFill="1" applyBorder="1" applyAlignment="1">
      <alignment horizontal="center" vertical="center" wrapText="1"/>
    </xf>
    <xf numFmtId="49" fontId="132" fillId="6" borderId="23" xfId="4" applyNumberFormat="1" applyFont="1" applyFill="1" applyBorder="1" applyAlignment="1">
      <alignment horizontal="center" vertical="center" wrapText="1"/>
    </xf>
    <xf numFmtId="47" fontId="132" fillId="0" borderId="14" xfId="4" applyNumberFormat="1" applyFont="1" applyBorder="1" applyAlignment="1">
      <alignment horizontal="center" vertical="center" wrapText="1"/>
    </xf>
    <xf numFmtId="47" fontId="132" fillId="9" borderId="14" xfId="4" applyNumberFormat="1" applyFont="1" applyFill="1" applyBorder="1" applyAlignment="1">
      <alignment horizontal="center" vertical="center" wrapText="1"/>
    </xf>
    <xf numFmtId="47" fontId="132" fillId="9" borderId="16" xfId="4" applyNumberFormat="1" applyFont="1" applyFill="1" applyBorder="1" applyAlignment="1">
      <alignment horizontal="center" vertical="center" wrapText="1"/>
    </xf>
    <xf numFmtId="0" fontId="127" fillId="0" borderId="0" xfId="4" applyFont="1" applyAlignment="1">
      <alignment horizontal="center"/>
    </xf>
    <xf numFmtId="171" fontId="132" fillId="9" borderId="38" xfId="4" applyNumberFormat="1" applyFont="1" applyFill="1" applyBorder="1" applyAlignment="1">
      <alignment horizontal="center" vertical="center" wrapText="1"/>
    </xf>
    <xf numFmtId="171" fontId="132" fillId="9" borderId="45" xfId="4" applyNumberFormat="1" applyFont="1" applyFill="1" applyBorder="1" applyAlignment="1">
      <alignment horizontal="center" vertical="center" wrapText="1"/>
    </xf>
    <xf numFmtId="171" fontId="132" fillId="10" borderId="14" xfId="4" applyNumberFormat="1" applyFont="1" applyFill="1" applyBorder="1" applyAlignment="1">
      <alignment horizontal="center" vertical="center" wrapText="1"/>
    </xf>
    <xf numFmtId="171" fontId="132" fillId="10" borderId="38" xfId="4" applyNumberFormat="1" applyFont="1" applyFill="1" applyBorder="1" applyAlignment="1">
      <alignment horizontal="center" vertical="center" wrapText="1"/>
    </xf>
    <xf numFmtId="0" fontId="127" fillId="0" borderId="0" xfId="4" applyFont="1" applyAlignment="1">
      <alignment horizontal="center" vertical="top"/>
    </xf>
    <xf numFmtId="0" fontId="139" fillId="0" borderId="0" xfId="4" applyFont="1" applyBorder="1" applyAlignment="1">
      <alignment horizontal="left"/>
    </xf>
    <xf numFmtId="49" fontId="127" fillId="0" borderId="0" xfId="4" applyNumberFormat="1" applyFont="1" applyAlignment="1">
      <alignment horizontal="center" vertical="center"/>
    </xf>
    <xf numFmtId="0" fontId="65" fillId="0" borderId="0" xfId="0" applyFont="1" applyFill="1" applyAlignment="1">
      <alignment horizontal="center" vertical="center"/>
    </xf>
    <xf numFmtId="167" fontId="13" fillId="0" borderId="0" xfId="0" applyNumberFormat="1" applyFont="1" applyFill="1" applyBorder="1" applyAlignment="1">
      <alignment horizontal="center" vertical="center"/>
    </xf>
    <xf numFmtId="0" fontId="19" fillId="0" borderId="0" xfId="0" applyFont="1"/>
    <xf numFmtId="1" fontId="19" fillId="0" borderId="0" xfId="0" applyNumberFormat="1" applyFont="1" applyAlignment="1">
      <alignment horizontal="center"/>
    </xf>
    <xf numFmtId="2" fontId="19" fillId="0" borderId="0" xfId="0" applyNumberFormat="1" applyFont="1" applyAlignment="1">
      <alignment horizontal="center"/>
    </xf>
    <xf numFmtId="2" fontId="19" fillId="0" borderId="0" xfId="0" applyNumberFormat="1" applyFont="1"/>
    <xf numFmtId="1" fontId="19" fillId="0" borderId="0" xfId="0" applyNumberFormat="1" applyFont="1"/>
    <xf numFmtId="0" fontId="19" fillId="0" borderId="0" xfId="0" applyFont="1" applyAlignment="1">
      <alignment horizontal="center"/>
    </xf>
    <xf numFmtId="2" fontId="19" fillId="0" borderId="0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62" fillId="0" borderId="0" xfId="0" applyFont="1" applyAlignment="1">
      <alignment horizont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8" fillId="0" borderId="0" xfId="0" applyFont="1" applyFill="1" applyAlignment="1">
      <alignment vertical="center"/>
    </xf>
    <xf numFmtId="0" fontId="19" fillId="0" borderId="0" xfId="0" applyNumberFormat="1" applyFont="1" applyAlignment="1">
      <alignment horizontal="center"/>
    </xf>
    <xf numFmtId="1" fontId="95" fillId="0" borderId="5" xfId="0" applyNumberFormat="1" applyFont="1" applyFill="1" applyBorder="1" applyAlignment="1">
      <alignment horizontal="center" vertical="center" wrapText="1"/>
    </xf>
    <xf numFmtId="0" fontId="140" fillId="0" borderId="5" xfId="0" applyFont="1" applyFill="1" applyBorder="1" applyAlignment="1">
      <alignment vertical="center"/>
    </xf>
    <xf numFmtId="0" fontId="140" fillId="0" borderId="3" xfId="0" applyFont="1" applyFill="1" applyBorder="1" applyAlignment="1">
      <alignment vertical="center"/>
    </xf>
    <xf numFmtId="0" fontId="141" fillId="0" borderId="2" xfId="0" applyFont="1" applyFill="1" applyBorder="1" applyAlignment="1">
      <alignment horizontal="right" vertical="center"/>
    </xf>
    <xf numFmtId="0" fontId="140" fillId="0" borderId="5" xfId="0" applyFont="1" applyFill="1" applyBorder="1" applyAlignment="1">
      <alignment horizontal="center" vertical="center"/>
    </xf>
    <xf numFmtId="0" fontId="109" fillId="0" borderId="5" xfId="0" applyFont="1" applyFill="1" applyBorder="1" applyAlignment="1">
      <alignment horizontal="right" vertical="center"/>
    </xf>
    <xf numFmtId="0" fontId="109" fillId="0" borderId="5" xfId="0" applyFont="1" applyFill="1" applyBorder="1" applyAlignment="1">
      <alignment vertical="center"/>
    </xf>
    <xf numFmtId="0" fontId="109" fillId="0" borderId="5" xfId="0" applyFont="1" applyFill="1" applyBorder="1" applyAlignment="1">
      <alignment horizontal="center" vertical="center"/>
    </xf>
    <xf numFmtId="0" fontId="140" fillId="0" borderId="4" xfId="0" applyFont="1" applyFill="1" applyBorder="1" applyAlignment="1">
      <alignment vertical="center"/>
    </xf>
    <xf numFmtId="0" fontId="19" fillId="6" borderId="0" xfId="0" applyFont="1" applyFill="1" applyBorder="1" applyAlignment="1">
      <alignment horizontal="left" vertical="center"/>
    </xf>
    <xf numFmtId="0" fontId="62" fillId="0" borderId="0" xfId="0" applyFont="1" applyBorder="1"/>
    <xf numFmtId="166" fontId="33" fillId="6" borderId="0" xfId="0" applyNumberFormat="1" applyFont="1" applyFill="1" applyBorder="1" applyAlignment="1">
      <alignment horizontal="center" vertical="center"/>
    </xf>
    <xf numFmtId="0" fontId="19" fillId="0" borderId="0" xfId="0" applyFont="1" applyBorder="1"/>
    <xf numFmtId="0" fontId="19" fillId="6" borderId="0" xfId="0" applyFont="1" applyFill="1" applyBorder="1" applyAlignment="1">
      <alignment horizontal="center" vertical="center"/>
    </xf>
    <xf numFmtId="166" fontId="7" fillId="0" borderId="0" xfId="0" applyNumberFormat="1" applyFont="1" applyFill="1" applyBorder="1" applyAlignment="1">
      <alignment horizontal="center" vertical="center"/>
    </xf>
    <xf numFmtId="166" fontId="19" fillId="0" borderId="0" xfId="0" applyNumberFormat="1" applyFont="1" applyFill="1" applyBorder="1" applyAlignment="1">
      <alignment horizontal="center" vertical="center"/>
    </xf>
    <xf numFmtId="2" fontId="140" fillId="0" borderId="2" xfId="0" applyNumberFormat="1" applyFont="1" applyFill="1" applyBorder="1" applyAlignment="1">
      <alignment horizontal="right" vertical="center"/>
    </xf>
    <xf numFmtId="166" fontId="19" fillId="6" borderId="0" xfId="0" applyNumberFormat="1" applyFont="1" applyFill="1" applyBorder="1" applyAlignment="1">
      <alignment horizontal="center" vertical="center"/>
    </xf>
    <xf numFmtId="166" fontId="19" fillId="0" borderId="0" xfId="0" applyNumberFormat="1" applyFont="1" applyBorder="1" applyAlignment="1">
      <alignment horizontal="center" vertical="center"/>
    </xf>
    <xf numFmtId="166" fontId="19" fillId="0" borderId="0" xfId="0" applyNumberFormat="1" applyFont="1" applyBorder="1" applyAlignment="1">
      <alignment horizontal="center" vertical="top"/>
    </xf>
    <xf numFmtId="2" fontId="19" fillId="6" borderId="0" xfId="0" applyNumberFormat="1" applyFont="1" applyFill="1" applyBorder="1" applyAlignment="1">
      <alignment horizontal="center" vertical="center"/>
    </xf>
    <xf numFmtId="0" fontId="81" fillId="0" borderId="0" xfId="0" applyFont="1" applyBorder="1"/>
    <xf numFmtId="0" fontId="19" fillId="0" borderId="0" xfId="0" applyFont="1" applyBorder="1" applyAlignment="1">
      <alignment horizontal="left"/>
    </xf>
    <xf numFmtId="0" fontId="15" fillId="6" borderId="0" xfId="0" applyFont="1" applyFill="1" applyBorder="1" applyAlignment="1">
      <alignment horizontal="center" vertical="center"/>
    </xf>
    <xf numFmtId="0" fontId="19" fillId="6" borderId="0" xfId="0" applyFont="1" applyFill="1" applyBorder="1" applyAlignment="1">
      <alignment vertical="center"/>
    </xf>
    <xf numFmtId="166" fontId="19" fillId="0" borderId="0" xfId="0" applyNumberFormat="1" applyFont="1" applyFill="1" applyBorder="1" applyAlignment="1">
      <alignment horizontal="center" vertical="top"/>
    </xf>
    <xf numFmtId="0" fontId="77" fillId="0" borderId="0" xfId="0" applyFont="1" applyFill="1" applyAlignment="1">
      <alignment horizontal="left" vertical="center"/>
    </xf>
    <xf numFmtId="0" fontId="77" fillId="0" borderId="0" xfId="0" applyFont="1" applyFill="1" applyBorder="1" applyAlignment="1">
      <alignment horizontal="left" vertical="center"/>
    </xf>
    <xf numFmtId="0" fontId="19" fillId="0" borderId="0" xfId="6" applyFont="1" applyBorder="1" applyAlignment="1">
      <alignment horizontal="left"/>
    </xf>
    <xf numFmtId="0" fontId="19" fillId="0" borderId="0" xfId="6" applyFont="1" applyFill="1" applyBorder="1" applyAlignment="1">
      <alignment horizontal="center"/>
    </xf>
    <xf numFmtId="0" fontId="15" fillId="0" borderId="0" xfId="6" applyFont="1" applyFill="1" applyBorder="1" applyAlignment="1"/>
    <xf numFmtId="166" fontId="19" fillId="0" borderId="0" xfId="6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19" fillId="0" borderId="0" xfId="6" applyFont="1" applyBorder="1" applyAlignment="1">
      <alignment horizontal="center" vertical="center"/>
    </xf>
    <xf numFmtId="1" fontId="19" fillId="0" borderId="0" xfId="0" applyNumberFormat="1" applyFont="1" applyFill="1" applyBorder="1" applyAlignment="1">
      <alignment horizontal="left" vertical="center"/>
    </xf>
    <xf numFmtId="0" fontId="62" fillId="0" borderId="0" xfId="0" applyFont="1" applyFill="1" applyBorder="1"/>
    <xf numFmtId="49" fontId="7" fillId="14" borderId="0" xfId="8" applyNumberFormat="1" applyFont="1" applyFill="1" applyBorder="1" applyAlignment="1">
      <alignment vertical="center"/>
    </xf>
    <xf numFmtId="1" fontId="7" fillId="14" borderId="0" xfId="8" applyNumberFormat="1" applyFont="1" applyFill="1" applyBorder="1" applyAlignment="1">
      <alignment horizontal="center" vertical="center"/>
    </xf>
    <xf numFmtId="49" fontId="7" fillId="14" borderId="0" xfId="8" applyNumberFormat="1" applyFont="1" applyFill="1" applyBorder="1" applyAlignment="1">
      <alignment horizontal="left" vertical="center"/>
    </xf>
    <xf numFmtId="49" fontId="7" fillId="14" borderId="0" xfId="8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77" fontId="7" fillId="14" borderId="0" xfId="8" applyNumberFormat="1" applyFont="1" applyFill="1" applyBorder="1" applyAlignment="1">
      <alignment horizontal="center" vertical="center"/>
    </xf>
    <xf numFmtId="166" fontId="15" fillId="0" borderId="0" xfId="0" applyNumberFormat="1" applyFont="1" applyFill="1" applyBorder="1" applyAlignment="1">
      <alignment horizontal="center" vertical="center"/>
    </xf>
    <xf numFmtId="1" fontId="19" fillId="6" borderId="0" xfId="0" applyNumberFormat="1" applyFont="1" applyFill="1" applyBorder="1" applyAlignment="1">
      <alignment horizontal="center" vertical="center"/>
    </xf>
    <xf numFmtId="0" fontId="7" fillId="6" borderId="0" xfId="0" applyFont="1" applyFill="1" applyBorder="1" applyAlignment="1">
      <alignment vertical="center"/>
    </xf>
    <xf numFmtId="0" fontId="15" fillId="0" borderId="0" xfId="0" applyFont="1" applyFill="1" applyBorder="1" applyAlignment="1"/>
    <xf numFmtId="1" fontId="19" fillId="2" borderId="0" xfId="0" applyNumberFormat="1" applyFont="1" applyFill="1" applyBorder="1" applyAlignment="1">
      <alignment horizontal="center" vertical="center"/>
    </xf>
    <xf numFmtId="0" fontId="14" fillId="0" borderId="0" xfId="0" applyFont="1" applyBorder="1"/>
    <xf numFmtId="0" fontId="24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/>
    </xf>
    <xf numFmtId="0" fontId="15" fillId="0" borderId="0" xfId="6" applyFont="1" applyFill="1" applyBorder="1" applyAlignment="1">
      <alignment horizontal="left"/>
    </xf>
    <xf numFmtId="0" fontId="81" fillId="0" borderId="0" xfId="0" applyFont="1"/>
    <xf numFmtId="0" fontId="19" fillId="0" borderId="0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1" fontId="19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19" fillId="0" borderId="0" xfId="0" applyFont="1" applyBorder="1" applyAlignment="1">
      <alignment vertical="center"/>
    </xf>
    <xf numFmtId="1" fontId="19" fillId="0" borderId="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166" fontId="3" fillId="0" borderId="0" xfId="0" applyNumberFormat="1" applyFont="1" applyFill="1" applyBorder="1" applyAlignment="1">
      <alignment horizontal="center" vertical="center"/>
    </xf>
    <xf numFmtId="166" fontId="33" fillId="0" borderId="0" xfId="0" applyNumberFormat="1" applyFont="1" applyFill="1" applyBorder="1" applyAlignment="1">
      <alignment horizontal="center" vertical="center"/>
    </xf>
    <xf numFmtId="0" fontId="62" fillId="0" borderId="0" xfId="0" applyFont="1"/>
    <xf numFmtId="1" fontId="81" fillId="0" borderId="0" xfId="0" applyNumberFormat="1" applyFont="1"/>
    <xf numFmtId="1" fontId="71" fillId="0" borderId="0" xfId="0" applyNumberFormat="1" applyFont="1"/>
    <xf numFmtId="0" fontId="19" fillId="2" borderId="0" xfId="0" applyFont="1" applyFill="1" applyBorder="1" applyAlignment="1">
      <alignment horizontal="left" vertical="center"/>
    </xf>
    <xf numFmtId="166" fontId="19" fillId="2" borderId="0" xfId="0" applyNumberFormat="1" applyFont="1" applyFill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13" fillId="0" borderId="0" xfId="0" applyFont="1" applyFill="1" applyAlignment="1">
      <alignment vertical="center"/>
    </xf>
    <xf numFmtId="2" fontId="25" fillId="0" borderId="0" xfId="0" applyNumberFormat="1" applyFont="1" applyFill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1" fontId="93" fillId="0" borderId="5" xfId="0" applyNumberFormat="1" applyFont="1" applyFill="1" applyBorder="1" applyAlignment="1">
      <alignment horizontal="center" vertical="center" wrapText="1"/>
    </xf>
    <xf numFmtId="0" fontId="145" fillId="0" borderId="5" xfId="0" applyFont="1" applyFill="1" applyBorder="1" applyAlignment="1">
      <alignment vertical="center"/>
    </xf>
    <xf numFmtId="0" fontId="145" fillId="0" borderId="3" xfId="0" applyFont="1" applyFill="1" applyBorder="1" applyAlignment="1">
      <alignment vertical="center"/>
    </xf>
    <xf numFmtId="0" fontId="146" fillId="0" borderId="2" xfId="0" applyFont="1" applyFill="1" applyBorder="1" applyAlignment="1">
      <alignment horizontal="right" vertical="center"/>
    </xf>
    <xf numFmtId="0" fontId="145" fillId="0" borderId="5" xfId="0" applyFont="1" applyFill="1" applyBorder="1" applyAlignment="1">
      <alignment horizontal="center" vertical="center"/>
    </xf>
    <xf numFmtId="0" fontId="145" fillId="0" borderId="4" xfId="0" applyFont="1" applyFill="1" applyBorder="1" applyAlignment="1">
      <alignment vertical="center"/>
    </xf>
    <xf numFmtId="2" fontId="145" fillId="0" borderId="2" xfId="0" applyNumberFormat="1" applyFont="1" applyFill="1" applyBorder="1" applyAlignment="1">
      <alignment horizontal="right" vertical="center"/>
    </xf>
    <xf numFmtId="0" fontId="147" fillId="0" borderId="5" xfId="0" applyFont="1" applyFill="1" applyBorder="1" applyAlignment="1">
      <alignment horizontal="right" vertical="center"/>
    </xf>
    <xf numFmtId="0" fontId="147" fillId="0" borderId="5" xfId="0" applyFont="1" applyFill="1" applyBorder="1" applyAlignment="1">
      <alignment vertical="center"/>
    </xf>
    <xf numFmtId="0" fontId="148" fillId="0" borderId="3" xfId="0" applyFont="1" applyFill="1" applyBorder="1" applyAlignment="1">
      <alignment vertical="center"/>
    </xf>
    <xf numFmtId="0" fontId="149" fillId="0" borderId="2" xfId="0" applyFont="1" applyFill="1" applyBorder="1" applyAlignment="1">
      <alignment horizontal="right" vertical="center"/>
    </xf>
    <xf numFmtId="0" fontId="148" fillId="0" borderId="5" xfId="0" applyFont="1" applyFill="1" applyBorder="1" applyAlignment="1">
      <alignment horizontal="center" vertical="center"/>
    </xf>
    <xf numFmtId="0" fontId="148" fillId="0" borderId="4" xfId="0" applyFont="1" applyFill="1" applyBorder="1" applyAlignment="1">
      <alignment vertical="center"/>
    </xf>
    <xf numFmtId="2" fontId="148" fillId="0" borderId="2" xfId="0" applyNumberFormat="1" applyFont="1" applyFill="1" applyBorder="1" applyAlignment="1">
      <alignment horizontal="right" vertical="center"/>
    </xf>
    <xf numFmtId="1" fontId="10" fillId="0" borderId="5" xfId="0" applyNumberFormat="1" applyFont="1" applyFill="1" applyBorder="1" applyAlignment="1">
      <alignment horizontal="center" vertical="center" wrapText="1"/>
    </xf>
    <xf numFmtId="0" fontId="108" fillId="0" borderId="5" xfId="0" applyFont="1" applyFill="1" applyBorder="1" applyAlignment="1">
      <alignment horizontal="right" vertical="center"/>
    </xf>
    <xf numFmtId="1" fontId="14" fillId="0" borderId="0" xfId="0" applyNumberFormat="1" applyFont="1" applyAlignment="1">
      <alignment horizontal="center"/>
    </xf>
    <xf numFmtId="0" fontId="14" fillId="0" borderId="0" xfId="0" applyFont="1" applyBorder="1" applyAlignment="1">
      <alignment horizontal="center" vertical="center"/>
    </xf>
    <xf numFmtId="1" fontId="14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166" fontId="14" fillId="0" borderId="0" xfId="0" applyNumberFormat="1" applyFont="1" applyFill="1" applyBorder="1" applyAlignment="1">
      <alignment horizontal="center" vertical="center"/>
    </xf>
    <xf numFmtId="2" fontId="14" fillId="0" borderId="0" xfId="0" applyNumberFormat="1" applyFont="1" applyFill="1" applyBorder="1" applyAlignment="1">
      <alignment horizontal="center" vertical="center"/>
    </xf>
    <xf numFmtId="2" fontId="14" fillId="0" borderId="0" xfId="0" applyNumberFormat="1" applyFont="1" applyAlignment="1">
      <alignment horizontal="center"/>
    </xf>
    <xf numFmtId="0" fontId="92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52" fillId="0" borderId="0" xfId="0" applyFont="1" applyBorder="1" applyAlignment="1">
      <alignment horizontal="center" vertical="center"/>
    </xf>
    <xf numFmtId="1" fontId="19" fillId="0" borderId="0" xfId="0" applyNumberFormat="1" applyFont="1" applyBorder="1" applyAlignment="1">
      <alignment vertical="center"/>
    </xf>
    <xf numFmtId="0" fontId="150" fillId="0" borderId="0" xfId="0" applyFont="1" applyBorder="1" applyAlignment="1">
      <alignment horizontal="left" vertical="center"/>
    </xf>
    <xf numFmtId="0" fontId="150" fillId="0" borderId="0" xfId="0" applyFont="1" applyBorder="1" applyAlignment="1">
      <alignment horizontal="center" vertical="center"/>
    </xf>
    <xf numFmtId="1" fontId="150" fillId="0" borderId="0" xfId="0" applyNumberFormat="1" applyFont="1" applyAlignment="1">
      <alignment horizontal="center"/>
    </xf>
    <xf numFmtId="0" fontId="18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1" fontId="14" fillId="0" borderId="0" xfId="0" applyNumberFormat="1" applyFont="1"/>
    <xf numFmtId="0" fontId="150" fillId="0" borderId="0" xfId="0" applyFont="1" applyAlignment="1">
      <alignment horizontal="center"/>
    </xf>
    <xf numFmtId="0" fontId="151" fillId="0" borderId="0" xfId="0" applyFont="1"/>
    <xf numFmtId="0" fontId="152" fillId="0" borderId="0" xfId="0" applyFont="1"/>
    <xf numFmtId="2" fontId="25" fillId="0" borderId="0" xfId="0" applyNumberFormat="1" applyFont="1" applyFill="1" applyAlignment="1">
      <alignment vertical="center"/>
    </xf>
    <xf numFmtId="0" fontId="11" fillId="0" borderId="2" xfId="0" applyFont="1" applyFill="1" applyBorder="1" applyAlignment="1">
      <alignment vertical="center" textRotation="90"/>
    </xf>
    <xf numFmtId="2" fontId="11" fillId="0" borderId="5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2" fontId="12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center" indent="1"/>
    </xf>
    <xf numFmtId="2" fontId="2" fillId="0" borderId="0" xfId="0" applyNumberFormat="1" applyFont="1" applyFill="1" applyBorder="1" applyAlignment="1">
      <alignment horizontal="center" vertical="center"/>
    </xf>
    <xf numFmtId="2" fontId="13" fillId="0" borderId="0" xfId="0" applyNumberFormat="1" applyFont="1" applyFill="1" applyBorder="1" applyAlignment="1">
      <alignment horizontal="left" vertical="center"/>
    </xf>
    <xf numFmtId="2" fontId="13" fillId="0" borderId="0" xfId="0" applyNumberFormat="1" applyFont="1" applyFill="1" applyBorder="1" applyAlignment="1">
      <alignment vertical="center"/>
    </xf>
    <xf numFmtId="2" fontId="2" fillId="0" borderId="0" xfId="0" applyNumberFormat="1" applyFont="1" applyFill="1" applyAlignment="1">
      <alignment horizontal="right" vertical="center" wrapText="1"/>
    </xf>
    <xf numFmtId="2" fontId="6" fillId="0" borderId="4" xfId="0" applyNumberFormat="1" applyFont="1" applyFill="1" applyBorder="1" applyAlignment="1">
      <alignment horizontal="center" vertical="center"/>
    </xf>
    <xf numFmtId="166" fontId="153" fillId="0" borderId="0" xfId="0" applyNumberFormat="1" applyFont="1" applyFill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2" fontId="19" fillId="2" borderId="0" xfId="0" applyNumberFormat="1" applyFont="1" applyFill="1" applyAlignment="1">
      <alignment horizontal="center"/>
    </xf>
    <xf numFmtId="2" fontId="7" fillId="2" borderId="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 wrapText="1"/>
    </xf>
    <xf numFmtId="0" fontId="52" fillId="0" borderId="0" xfId="0" applyFont="1" applyBorder="1" applyAlignment="1">
      <alignment horizontal="center"/>
    </xf>
    <xf numFmtId="0" fontId="52" fillId="0" borderId="0" xfId="0" applyFont="1" applyFill="1" applyBorder="1" applyAlignment="1">
      <alignment horizontal="center"/>
    </xf>
    <xf numFmtId="1" fontId="19" fillId="0" borderId="0" xfId="0" applyNumberFormat="1" applyFont="1" applyBorder="1" applyAlignment="1"/>
    <xf numFmtId="0" fontId="19" fillId="0" borderId="0" xfId="0" applyNumberFormat="1" applyFont="1" applyBorder="1" applyAlignment="1"/>
    <xf numFmtId="1" fontId="19" fillId="2" borderId="0" xfId="0" applyNumberFormat="1" applyFont="1" applyFill="1" applyBorder="1" applyAlignment="1">
      <alignment horizontal="left" vertical="center"/>
    </xf>
    <xf numFmtId="166" fontId="120" fillId="2" borderId="0" xfId="0" applyNumberFormat="1" applyFont="1" applyFill="1" applyAlignment="1">
      <alignment horizontal="center" vertical="center"/>
    </xf>
    <xf numFmtId="167" fontId="13" fillId="2" borderId="0" xfId="0" applyNumberFormat="1" applyFont="1" applyFill="1" applyBorder="1" applyAlignment="1">
      <alignment horizontal="center" vertical="center"/>
    </xf>
    <xf numFmtId="2" fontId="19" fillId="2" borderId="0" xfId="0" applyNumberFormat="1" applyFont="1" applyFill="1" applyBorder="1" applyAlignment="1">
      <alignment horizontal="center" vertical="center"/>
    </xf>
    <xf numFmtId="0" fontId="81" fillId="2" borderId="0" xfId="0" applyFont="1" applyFill="1"/>
    <xf numFmtId="0" fontId="28" fillId="0" borderId="0" xfId="0" applyFont="1" applyFill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0" xfId="0" applyFont="1" applyFill="1" applyAlignment="1">
      <alignment horizontal="left" vertical="center"/>
    </xf>
    <xf numFmtId="0" fontId="28" fillId="0" borderId="0" xfId="0" applyFont="1" applyFill="1" applyBorder="1" applyAlignment="1">
      <alignment horizontal="left" vertical="center"/>
    </xf>
    <xf numFmtId="0" fontId="61" fillId="0" borderId="0" xfId="0" applyFont="1" applyFill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2" fontId="2" fillId="0" borderId="0" xfId="0" applyNumberFormat="1" applyFont="1" applyFill="1" applyAlignment="1">
      <alignment horizontal="right" vertical="center" wrapText="1"/>
    </xf>
    <xf numFmtId="2" fontId="6" fillId="0" borderId="4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2" fontId="25" fillId="0" borderId="0" xfId="0" applyNumberFormat="1" applyFont="1" applyFill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0" fontId="0" fillId="0" borderId="0" xfId="0" applyFont="1"/>
    <xf numFmtId="1" fontId="54" fillId="0" borderId="0" xfId="0" applyNumberFormat="1" applyFont="1"/>
    <xf numFmtId="1" fontId="54" fillId="0" borderId="0" xfId="0" applyNumberFormat="1" applyFont="1" applyAlignment="1">
      <alignment horizontal="center"/>
    </xf>
    <xf numFmtId="1" fontId="90" fillId="0" borderId="0" xfId="0" applyNumberFormat="1" applyFont="1"/>
    <xf numFmtId="1" fontId="90" fillId="0" borderId="0" xfId="0" applyNumberFormat="1" applyFont="1" applyAlignment="1">
      <alignment horizontal="center"/>
    </xf>
    <xf numFmtId="0" fontId="90" fillId="0" borderId="0" xfId="0" applyFont="1" applyBorder="1" applyAlignment="1">
      <alignment horizontal="left" vertical="center"/>
    </xf>
    <xf numFmtId="0" fontId="155" fillId="0" borderId="0" xfId="0" applyFont="1"/>
    <xf numFmtId="0" fontId="6" fillId="0" borderId="2" xfId="0" applyFont="1" applyFill="1" applyBorder="1" applyAlignment="1">
      <alignment vertical="center" textRotation="90"/>
    </xf>
    <xf numFmtId="0" fontId="35" fillId="0" borderId="5" xfId="0" applyFont="1" applyFill="1" applyBorder="1" applyAlignment="1">
      <alignment horizontal="center" vertical="center"/>
    </xf>
    <xf numFmtId="0" fontId="35" fillId="0" borderId="5" xfId="0" applyFont="1" applyFill="1" applyBorder="1" applyAlignment="1">
      <alignment horizontal="center" vertical="center" wrapText="1"/>
    </xf>
    <xf numFmtId="2" fontId="2" fillId="0" borderId="0" xfId="0" applyNumberFormat="1" applyFont="1" applyFill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1" fontId="40" fillId="0" borderId="0" xfId="0" applyNumberFormat="1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61" fillId="0" borderId="0" xfId="0" applyFont="1" applyFill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15" fillId="0" borderId="0" xfId="0" applyFont="1" applyFill="1" applyBorder="1" applyAlignment="1">
      <alignment horizontal="left"/>
    </xf>
    <xf numFmtId="1" fontId="0" fillId="0" borderId="0" xfId="0" applyNumberFormat="1" applyBorder="1"/>
    <xf numFmtId="0" fontId="81" fillId="0" borderId="0" xfId="0" applyFont="1" applyFill="1" applyBorder="1"/>
    <xf numFmtId="0" fontId="14" fillId="0" borderId="0" xfId="0" applyFont="1" applyFill="1" applyBorder="1" applyAlignment="1">
      <alignment vertical="top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/>
    <xf numFmtId="166" fontId="15" fillId="0" borderId="0" xfId="0" applyNumberFormat="1" applyFont="1" applyAlignment="1">
      <alignment horizontal="right"/>
    </xf>
    <xf numFmtId="2" fontId="15" fillId="0" borderId="0" xfId="0" applyNumberFormat="1" applyFont="1" applyFill="1" applyAlignment="1">
      <alignment horizontal="right"/>
    </xf>
    <xf numFmtId="0" fontId="156" fillId="0" borderId="0" xfId="0" applyFont="1" applyBorder="1" applyAlignment="1">
      <alignment horizontal="center" vertical="center"/>
    </xf>
    <xf numFmtId="0" fontId="19" fillId="2" borderId="0" xfId="0" applyFont="1" applyFill="1" applyBorder="1" applyAlignment="1">
      <alignment horizontal="center"/>
    </xf>
    <xf numFmtId="0" fontId="15" fillId="0" borderId="0" xfId="0" applyFont="1" applyBorder="1" applyAlignment="1">
      <alignment horizontal="left" vertical="center"/>
    </xf>
    <xf numFmtId="166" fontId="19" fillId="0" borderId="0" xfId="0" applyNumberFormat="1" applyFont="1" applyFill="1" applyBorder="1" applyAlignment="1">
      <alignment vertical="center"/>
    </xf>
    <xf numFmtId="0" fontId="14" fillId="6" borderId="0" xfId="0" applyFont="1" applyFill="1" applyBorder="1" applyAlignment="1">
      <alignment horizontal="center" vertical="center"/>
    </xf>
    <xf numFmtId="0" fontId="0" fillId="2" borderId="0" xfId="0" applyFill="1"/>
    <xf numFmtId="1" fontId="7" fillId="2" borderId="0" xfId="0" applyNumberFormat="1" applyFont="1" applyFill="1" applyBorder="1" applyAlignment="1">
      <alignment horizontal="center" vertical="center"/>
    </xf>
    <xf numFmtId="0" fontId="19" fillId="2" borderId="0" xfId="0" applyFont="1" applyFill="1" applyBorder="1"/>
    <xf numFmtId="166" fontId="7" fillId="2" borderId="0" xfId="0" applyNumberFormat="1" applyFont="1" applyFill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61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58" fillId="0" borderId="0" xfId="0" applyFont="1" applyAlignment="1">
      <alignment horizontal="center"/>
    </xf>
    <xf numFmtId="1" fontId="14" fillId="0" borderId="0" xfId="0" applyNumberFormat="1" applyFont="1" applyFill="1" applyBorder="1" applyAlignment="1">
      <alignment horizontal="center" vertical="center"/>
    </xf>
    <xf numFmtId="167" fontId="13" fillId="0" borderId="96" xfId="0" applyNumberFormat="1" applyFont="1" applyFill="1" applyBorder="1" applyAlignment="1">
      <alignment horizontal="center" vertical="center"/>
    </xf>
    <xf numFmtId="0" fontId="19" fillId="0" borderId="96" xfId="0" applyFont="1" applyBorder="1" applyAlignment="1">
      <alignment vertical="center"/>
    </xf>
    <xf numFmtId="0" fontId="7" fillId="0" borderId="96" xfId="0" applyFont="1" applyFill="1" applyBorder="1" applyAlignment="1">
      <alignment vertical="center"/>
    </xf>
    <xf numFmtId="1" fontId="19" fillId="0" borderId="96" xfId="0" applyNumberFormat="1" applyFont="1" applyBorder="1" applyAlignment="1">
      <alignment horizontal="center" vertical="center"/>
    </xf>
    <xf numFmtId="0" fontId="18" fillId="0" borderId="96" xfId="0" applyFont="1" applyFill="1" applyBorder="1" applyAlignment="1">
      <alignment horizontal="center" vertical="center"/>
    </xf>
    <xf numFmtId="166" fontId="19" fillId="0" borderId="96" xfId="0" applyNumberFormat="1" applyFont="1" applyFill="1" applyBorder="1" applyAlignment="1">
      <alignment horizontal="center" vertical="center"/>
    </xf>
    <xf numFmtId="2" fontId="7" fillId="0" borderId="96" xfId="0" applyNumberFormat="1" applyFont="1" applyFill="1" applyBorder="1" applyAlignment="1">
      <alignment horizontal="center" vertical="center"/>
    </xf>
    <xf numFmtId="0" fontId="0" fillId="0" borderId="96" xfId="0" applyBorder="1"/>
    <xf numFmtId="0" fontId="19" fillId="0" borderId="96" xfId="0" applyFont="1" applyBorder="1"/>
    <xf numFmtId="167" fontId="35" fillId="0" borderId="96" xfId="0" applyNumberFormat="1" applyFont="1" applyFill="1" applyBorder="1" applyAlignment="1">
      <alignment horizontal="center" vertical="center"/>
    </xf>
    <xf numFmtId="0" fontId="150" fillId="0" borderId="96" xfId="0" applyFont="1" applyBorder="1" applyAlignment="1">
      <alignment vertical="center"/>
    </xf>
    <xf numFmtId="0" fontId="12" fillId="0" borderId="96" xfId="0" applyFont="1" applyFill="1" applyBorder="1" applyAlignment="1">
      <alignment vertical="center"/>
    </xf>
    <xf numFmtId="1" fontId="150" fillId="0" borderId="96" xfId="0" applyNumberFormat="1" applyFont="1" applyBorder="1" applyAlignment="1">
      <alignment horizontal="center" vertical="center"/>
    </xf>
    <xf numFmtId="0" fontId="18" fillId="0" borderId="96" xfId="0" applyFont="1" applyFill="1" applyBorder="1" applyAlignment="1">
      <alignment horizontal="left" vertical="center"/>
    </xf>
    <xf numFmtId="166" fontId="150" fillId="0" borderId="96" xfId="0" applyNumberFormat="1" applyFont="1" applyFill="1" applyBorder="1" applyAlignment="1">
      <alignment horizontal="center" vertical="center"/>
    </xf>
    <xf numFmtId="2" fontId="12" fillId="0" borderId="96" xfId="0" applyNumberFormat="1" applyFont="1" applyFill="1" applyBorder="1" applyAlignment="1">
      <alignment horizontal="center" vertical="center"/>
    </xf>
    <xf numFmtId="0" fontId="157" fillId="0" borderId="96" xfId="0" applyFont="1" applyBorder="1"/>
    <xf numFmtId="0" fontId="150" fillId="0" borderId="96" xfId="0" applyFont="1" applyBorder="1"/>
    <xf numFmtId="1" fontId="159" fillId="0" borderId="96" xfId="0" applyNumberFormat="1" applyFont="1" applyBorder="1" applyAlignment="1">
      <alignment horizontal="center"/>
    </xf>
    <xf numFmtId="1" fontId="159" fillId="0" borderId="96" xfId="0" applyNumberFormat="1" applyFont="1" applyBorder="1"/>
    <xf numFmtId="2" fontId="159" fillId="0" borderId="96" xfId="0" applyNumberFormat="1" applyFont="1" applyBorder="1" applyAlignment="1">
      <alignment horizontal="center"/>
    </xf>
    <xf numFmtId="0" fontId="161" fillId="0" borderId="96" xfId="0" applyFont="1" applyBorder="1"/>
    <xf numFmtId="0" fontId="92" fillId="0" borderId="96" xfId="0" applyFont="1" applyBorder="1"/>
    <xf numFmtId="1" fontId="159" fillId="0" borderId="0" xfId="0" applyNumberFormat="1" applyFont="1" applyBorder="1" applyAlignment="1">
      <alignment horizontal="center" vertical="center"/>
    </xf>
    <xf numFmtId="0" fontId="159" fillId="0" borderId="0" xfId="0" applyFont="1" applyBorder="1" applyAlignment="1">
      <alignment horizontal="left" vertical="center"/>
    </xf>
    <xf numFmtId="1" fontId="150" fillId="0" borderId="96" xfId="0" applyNumberFormat="1" applyFont="1" applyBorder="1" applyAlignment="1">
      <alignment horizontal="center"/>
    </xf>
    <xf numFmtId="0" fontId="159" fillId="0" borderId="96" xfId="0" applyFont="1" applyBorder="1" applyAlignment="1">
      <alignment horizontal="center" vertical="center"/>
    </xf>
    <xf numFmtId="0" fontId="159" fillId="0" borderId="96" xfId="0" applyFont="1" applyBorder="1" applyAlignment="1">
      <alignment vertical="center"/>
    </xf>
    <xf numFmtId="0" fontId="160" fillId="0" borderId="96" xfId="0" applyFont="1" applyFill="1" applyBorder="1" applyAlignment="1">
      <alignment vertical="center"/>
    </xf>
    <xf numFmtId="1" fontId="159" fillId="0" borderId="96" xfId="0" applyNumberFormat="1" applyFont="1" applyBorder="1" applyAlignment="1">
      <alignment horizontal="center" vertical="center"/>
    </xf>
    <xf numFmtId="0" fontId="159" fillId="0" borderId="96" xfId="0" applyFont="1" applyBorder="1" applyAlignment="1">
      <alignment horizontal="left" vertical="center"/>
    </xf>
    <xf numFmtId="166" fontId="159" fillId="0" borderId="96" xfId="0" applyNumberFormat="1" applyFont="1" applyFill="1" applyBorder="1" applyAlignment="1">
      <alignment horizontal="center" vertical="center"/>
    </xf>
    <xf numFmtId="0" fontId="159" fillId="0" borderId="96" xfId="0" applyFont="1" applyBorder="1"/>
    <xf numFmtId="0" fontId="150" fillId="0" borderId="96" xfId="0" applyFont="1" applyBorder="1" applyAlignment="1">
      <alignment horizontal="center" vertical="center"/>
    </xf>
    <xf numFmtId="0" fontId="19" fillId="0" borderId="96" xfId="0" applyFont="1" applyBorder="1" applyAlignment="1">
      <alignment horizontal="center" vertical="center"/>
    </xf>
    <xf numFmtId="1" fontId="19" fillId="0" borderId="96" xfId="0" applyNumberFormat="1" applyFont="1" applyBorder="1" applyAlignment="1">
      <alignment vertical="center"/>
    </xf>
    <xf numFmtId="0" fontId="19" fillId="0" borderId="96" xfId="0" applyFont="1" applyBorder="1" applyAlignment="1">
      <alignment horizontal="left" vertical="center"/>
    </xf>
    <xf numFmtId="166" fontId="3" fillId="0" borderId="96" xfId="0" applyNumberFormat="1" applyFont="1" applyFill="1" applyBorder="1" applyAlignment="1">
      <alignment horizontal="center" vertical="center"/>
    </xf>
    <xf numFmtId="1" fontId="19" fillId="0" borderId="96" xfId="0" applyNumberFormat="1" applyFont="1" applyBorder="1" applyAlignment="1">
      <alignment horizontal="center"/>
    </xf>
    <xf numFmtId="1" fontId="19" fillId="0" borderId="96" xfId="0" applyNumberFormat="1" applyFont="1" applyBorder="1"/>
    <xf numFmtId="2" fontId="19" fillId="0" borderId="96" xfId="0" applyNumberFormat="1" applyFont="1" applyBorder="1" applyAlignment="1">
      <alignment horizontal="center"/>
    </xf>
    <xf numFmtId="166" fontId="33" fillId="0" borderId="96" xfId="0" applyNumberFormat="1" applyFont="1" applyFill="1" applyBorder="1" applyAlignment="1">
      <alignment horizontal="center" vertical="center"/>
    </xf>
    <xf numFmtId="0" fontId="14" fillId="0" borderId="96" xfId="0" applyFont="1" applyBorder="1" applyAlignment="1">
      <alignment horizontal="center" vertical="center"/>
    </xf>
    <xf numFmtId="0" fontId="14" fillId="0" borderId="96" xfId="0" applyFont="1" applyBorder="1" applyAlignment="1">
      <alignment vertical="center"/>
    </xf>
    <xf numFmtId="0" fontId="2" fillId="0" borderId="96" xfId="0" applyFont="1" applyFill="1" applyBorder="1" applyAlignment="1">
      <alignment vertical="center"/>
    </xf>
    <xf numFmtId="1" fontId="14" fillId="0" borderId="96" xfId="0" applyNumberFormat="1" applyFont="1" applyBorder="1" applyAlignment="1">
      <alignment horizontal="center" vertical="center"/>
    </xf>
    <xf numFmtId="0" fontId="14" fillId="0" borderId="96" xfId="0" applyFont="1" applyBorder="1" applyAlignment="1">
      <alignment horizontal="left" vertical="center"/>
    </xf>
    <xf numFmtId="166" fontId="14" fillId="0" borderId="96" xfId="0" applyNumberFormat="1" applyFont="1" applyFill="1" applyBorder="1" applyAlignment="1">
      <alignment horizontal="center" vertical="center"/>
    </xf>
    <xf numFmtId="0" fontId="14" fillId="0" borderId="96" xfId="0" applyFont="1" applyBorder="1" applyAlignment="1">
      <alignment horizontal="center"/>
    </xf>
    <xf numFmtId="0" fontId="14" fillId="0" borderId="96" xfId="0" applyFont="1" applyBorder="1"/>
    <xf numFmtId="1" fontId="14" fillId="0" borderId="96" xfId="0" applyNumberFormat="1" applyFont="1" applyBorder="1" applyAlignment="1">
      <alignment horizontal="center"/>
    </xf>
    <xf numFmtId="0" fontId="52" fillId="0" borderId="96" xfId="0" applyFont="1" applyBorder="1" applyAlignment="1">
      <alignment horizontal="center" vertical="center"/>
    </xf>
    <xf numFmtId="0" fontId="52" fillId="0" borderId="96" xfId="0" applyFont="1" applyBorder="1" applyAlignment="1">
      <alignment horizontal="center"/>
    </xf>
    <xf numFmtId="0" fontId="158" fillId="0" borderId="96" xfId="0" applyFont="1" applyBorder="1" applyAlignment="1">
      <alignment horizontal="center"/>
    </xf>
    <xf numFmtId="167" fontId="15" fillId="0" borderId="0" xfId="0" applyNumberFormat="1" applyFont="1" applyFill="1" applyBorder="1" applyAlignment="1">
      <alignment horizontal="center" vertical="center"/>
    </xf>
    <xf numFmtId="0" fontId="159" fillId="6" borderId="0" xfId="0" applyFont="1" applyFill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167" fontId="15" fillId="0" borderId="96" xfId="0" applyNumberFormat="1" applyFont="1" applyFill="1" applyBorder="1" applyAlignment="1">
      <alignment horizontal="center" vertical="center"/>
    </xf>
    <xf numFmtId="0" fontId="81" fillId="0" borderId="96" xfId="0" applyFont="1" applyBorder="1"/>
    <xf numFmtId="0" fontId="19" fillId="0" borderId="96" xfId="0" applyFont="1" applyBorder="1" applyAlignment="1">
      <alignment horizontal="center"/>
    </xf>
    <xf numFmtId="0" fontId="162" fillId="0" borderId="0" xfId="0" applyFont="1" applyAlignment="1">
      <alignment horizontal="center"/>
    </xf>
    <xf numFmtId="0" fontId="150" fillId="0" borderId="96" xfId="0" applyFont="1" applyBorder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97" fillId="6" borderId="0" xfId="0" applyFont="1" applyFill="1" applyBorder="1" applyAlignment="1">
      <alignment horizontal="left" vertical="center"/>
    </xf>
    <xf numFmtId="0" fontId="97" fillId="0" borderId="0" xfId="0" applyFont="1" applyBorder="1" applyAlignment="1">
      <alignment horizontal="left" vertical="center"/>
    </xf>
    <xf numFmtId="1" fontId="97" fillId="0" borderId="0" xfId="0" applyNumberFormat="1" applyFont="1" applyBorder="1" applyAlignment="1">
      <alignment horizontal="center" vertical="center"/>
    </xf>
    <xf numFmtId="0" fontId="34" fillId="0" borderId="0" xfId="0" applyFont="1" applyBorder="1" applyAlignment="1">
      <alignment vertical="center"/>
    </xf>
    <xf numFmtId="167" fontId="15" fillId="2" borderId="96" xfId="0" applyNumberFormat="1" applyFont="1" applyFill="1" applyBorder="1" applyAlignment="1">
      <alignment horizontal="center" vertical="center"/>
    </xf>
    <xf numFmtId="0" fontId="19" fillId="2" borderId="96" xfId="0" applyFont="1" applyFill="1" applyBorder="1" applyAlignment="1">
      <alignment horizontal="center" vertical="center"/>
    </xf>
    <xf numFmtId="0" fontId="19" fillId="2" borderId="96" xfId="0" applyFont="1" applyFill="1" applyBorder="1" applyAlignment="1">
      <alignment vertical="center"/>
    </xf>
    <xf numFmtId="0" fontId="7" fillId="2" borderId="96" xfId="0" applyFont="1" applyFill="1" applyBorder="1" applyAlignment="1">
      <alignment vertical="center"/>
    </xf>
    <xf numFmtId="1" fontId="19" fillId="2" borderId="96" xfId="0" applyNumberFormat="1" applyFont="1" applyFill="1" applyBorder="1" applyAlignment="1">
      <alignment horizontal="center" vertical="center"/>
    </xf>
    <xf numFmtId="0" fontId="150" fillId="2" borderId="96" xfId="0" applyFont="1" applyFill="1" applyBorder="1" applyAlignment="1">
      <alignment horizontal="center" vertical="center"/>
    </xf>
    <xf numFmtId="0" fontId="19" fillId="2" borderId="96" xfId="0" applyFont="1" applyFill="1" applyBorder="1" applyAlignment="1">
      <alignment horizontal="left" vertical="center"/>
    </xf>
    <xf numFmtId="0" fontId="81" fillId="2" borderId="96" xfId="0" applyFont="1" applyFill="1" applyBorder="1"/>
    <xf numFmtId="166" fontId="7" fillId="2" borderId="96" xfId="0" applyNumberFormat="1" applyFont="1" applyFill="1" applyBorder="1" applyAlignment="1">
      <alignment horizontal="center" vertical="center"/>
    </xf>
    <xf numFmtId="0" fontId="19" fillId="2" borderId="96" xfId="0" applyFont="1" applyFill="1" applyBorder="1"/>
    <xf numFmtId="0" fontId="19" fillId="2" borderId="96" xfId="0" applyFont="1" applyFill="1" applyBorder="1" applyAlignment="1">
      <alignment horizontal="center"/>
    </xf>
    <xf numFmtId="0" fontId="81" fillId="0" borderId="0" xfId="0" applyFont="1" applyFill="1"/>
    <xf numFmtId="2" fontId="19" fillId="0" borderId="0" xfId="0" applyNumberFormat="1" applyFont="1" applyFill="1" applyAlignment="1">
      <alignment horizontal="center"/>
    </xf>
    <xf numFmtId="0" fontId="162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1" fontId="19" fillId="0" borderId="0" xfId="0" applyNumberFormat="1" applyFont="1" applyFill="1" applyAlignment="1">
      <alignment horizontal="center"/>
    </xf>
    <xf numFmtId="1" fontId="19" fillId="0" borderId="0" xfId="0" applyNumberFormat="1" applyFont="1" applyFill="1"/>
    <xf numFmtId="0" fontId="19" fillId="0" borderId="0" xfId="0" applyFont="1" applyFill="1"/>
    <xf numFmtId="0" fontId="150" fillId="2" borderId="96" xfId="0" applyFont="1" applyFill="1" applyBorder="1" applyAlignment="1">
      <alignment horizontal="center"/>
    </xf>
    <xf numFmtId="2" fontId="19" fillId="0" borderId="0" xfId="3" applyNumberFormat="1" applyFont="1" applyFill="1" applyBorder="1" applyAlignment="1">
      <alignment horizontal="center" vertical="center"/>
    </xf>
    <xf numFmtId="0" fontId="34" fillId="0" borderId="96" xfId="0" applyFont="1" applyFill="1" applyBorder="1" applyAlignment="1">
      <alignment horizontal="center" vertical="center"/>
    </xf>
    <xf numFmtId="0" fontId="163" fillId="0" borderId="96" xfId="0" applyFont="1" applyBorder="1"/>
    <xf numFmtId="166" fontId="7" fillId="0" borderId="96" xfId="0" applyNumberFormat="1" applyFont="1" applyFill="1" applyBorder="1" applyAlignment="1">
      <alignment horizontal="center" vertical="center"/>
    </xf>
    <xf numFmtId="0" fontId="164" fillId="0" borderId="96" xfId="0" applyFont="1" applyBorder="1" applyAlignment="1">
      <alignment horizontal="center"/>
    </xf>
    <xf numFmtId="0" fontId="162" fillId="0" borderId="96" xfId="0" applyFont="1" applyBorder="1" applyAlignment="1">
      <alignment horizontal="center"/>
    </xf>
    <xf numFmtId="0" fontId="19" fillId="0" borderId="96" xfId="0" applyNumberFormat="1" applyFont="1" applyBorder="1" applyAlignment="1">
      <alignment horizontal="center"/>
    </xf>
    <xf numFmtId="0" fontId="92" fillId="6" borderId="0" xfId="0" applyFont="1" applyFill="1" applyBorder="1" applyAlignment="1">
      <alignment horizontal="left" vertical="center"/>
    </xf>
    <xf numFmtId="0" fontId="92" fillId="0" borderId="0" xfId="0" applyFont="1" applyBorder="1" applyAlignment="1">
      <alignment horizontal="left" vertical="center"/>
    </xf>
    <xf numFmtId="1" fontId="92" fillId="0" borderId="0" xfId="0" applyNumberFormat="1" applyFont="1" applyBorder="1" applyAlignment="1">
      <alignment horizontal="center" vertical="center"/>
    </xf>
    <xf numFmtId="0" fontId="77" fillId="0" borderId="0" xfId="0" applyFont="1" applyBorder="1" applyAlignment="1">
      <alignment vertical="center"/>
    </xf>
    <xf numFmtId="0" fontId="52" fillId="0" borderId="96" xfId="0" applyFont="1" applyFill="1" applyBorder="1" applyAlignment="1">
      <alignment horizontal="center"/>
    </xf>
    <xf numFmtId="0" fontId="18" fillId="0" borderId="96" xfId="0" applyFont="1" applyBorder="1" applyAlignment="1">
      <alignment horizontal="center" vertical="center"/>
    </xf>
    <xf numFmtId="166" fontId="19" fillId="6" borderId="96" xfId="0" applyNumberFormat="1" applyFont="1" applyFill="1" applyBorder="1" applyAlignment="1">
      <alignment horizontal="center" vertical="center"/>
    </xf>
    <xf numFmtId="0" fontId="35" fillId="0" borderId="96" xfId="0" applyFont="1" applyBorder="1" applyAlignment="1">
      <alignment horizontal="center" vertical="center"/>
    </xf>
    <xf numFmtId="166" fontId="14" fillId="6" borderId="96" xfId="0" applyNumberFormat="1" applyFont="1" applyFill="1" applyBorder="1" applyAlignment="1">
      <alignment horizontal="center" vertical="center"/>
    </xf>
    <xf numFmtId="176" fontId="14" fillId="0" borderId="96" xfId="0" applyNumberFormat="1" applyFont="1" applyBorder="1" applyAlignment="1">
      <alignment horizontal="center" vertical="center"/>
    </xf>
    <xf numFmtId="0" fontId="14" fillId="0" borderId="96" xfId="0" applyFont="1" applyFill="1" applyBorder="1" applyAlignment="1">
      <alignment horizontal="center" vertical="center"/>
    </xf>
    <xf numFmtId="2" fontId="14" fillId="0" borderId="96" xfId="0" applyNumberFormat="1" applyFont="1" applyFill="1" applyBorder="1" applyAlignment="1">
      <alignment horizontal="center" vertical="center"/>
    </xf>
    <xf numFmtId="0" fontId="13" fillId="0" borderId="96" xfId="0" applyFont="1" applyFill="1" applyBorder="1" applyAlignment="1">
      <alignment horizontal="center" vertical="center"/>
    </xf>
    <xf numFmtId="166" fontId="14" fillId="0" borderId="0" xfId="0" applyNumberFormat="1" applyFont="1" applyBorder="1" applyAlignment="1">
      <alignment horizontal="center" vertical="top"/>
    </xf>
    <xf numFmtId="166" fontId="14" fillId="0" borderId="0" xfId="0" applyNumberFormat="1" applyFont="1" applyFill="1" applyBorder="1" applyAlignment="1">
      <alignment horizontal="center" vertical="top"/>
    </xf>
    <xf numFmtId="166" fontId="20" fillId="0" borderId="0" xfId="0" applyNumberFormat="1" applyFont="1" applyAlignment="1">
      <alignment horizontal="right"/>
    </xf>
    <xf numFmtId="0" fontId="14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right" vertical="center"/>
    </xf>
    <xf numFmtId="0" fontId="62" fillId="0" borderId="0" xfId="0" applyFont="1" applyAlignment="1">
      <alignment horizontal="left"/>
    </xf>
    <xf numFmtId="2" fontId="33" fillId="0" borderId="0" xfId="0" applyNumberFormat="1" applyFont="1" applyFill="1" applyBorder="1" applyAlignment="1">
      <alignment horizontal="center" vertical="center"/>
    </xf>
    <xf numFmtId="166" fontId="19" fillId="0" borderId="0" xfId="0" applyNumberFormat="1" applyFont="1" applyBorder="1" applyAlignment="1">
      <alignment horizontal="left" vertical="center"/>
    </xf>
    <xf numFmtId="0" fontId="19" fillId="0" borderId="0" xfId="0" applyFont="1" applyBorder="1" applyAlignment="1"/>
    <xf numFmtId="0" fontId="56" fillId="0" borderId="0" xfId="0" applyFont="1" applyBorder="1" applyAlignment="1">
      <alignment vertical="center"/>
    </xf>
    <xf numFmtId="1" fontId="62" fillId="0" borderId="0" xfId="0" applyNumberFormat="1" applyFont="1" applyBorder="1"/>
    <xf numFmtId="166" fontId="14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3" fillId="0" borderId="0" xfId="6" applyFont="1" applyFill="1" applyBorder="1" applyAlignment="1"/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 vertical="center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6" borderId="0" xfId="0" applyFont="1" applyFill="1" applyBorder="1" applyAlignment="1">
      <alignment horizontal="center" vertical="center"/>
    </xf>
    <xf numFmtId="49" fontId="2" fillId="14" borderId="0" xfId="8" applyNumberFormat="1" applyFont="1" applyFill="1" applyBorder="1" applyAlignment="1">
      <alignment vertical="center"/>
    </xf>
    <xf numFmtId="1" fontId="2" fillId="14" borderId="0" xfId="8" applyNumberFormat="1" applyFont="1" applyFill="1" applyBorder="1" applyAlignment="1">
      <alignment horizontal="center" vertical="center"/>
    </xf>
    <xf numFmtId="166" fontId="14" fillId="6" borderId="0" xfId="0" applyNumberFormat="1" applyFont="1" applyFill="1" applyBorder="1" applyAlignment="1">
      <alignment horizontal="center" vertical="center"/>
    </xf>
    <xf numFmtId="49" fontId="2" fillId="14" borderId="0" xfId="8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left"/>
    </xf>
    <xf numFmtId="0" fontId="13" fillId="0" borderId="0" xfId="6" applyFont="1" applyFill="1" applyBorder="1" applyAlignment="1">
      <alignment horizontal="left"/>
    </xf>
    <xf numFmtId="0" fontId="14" fillId="6" borderId="0" xfId="0" applyFont="1" applyFill="1" applyBorder="1" applyAlignment="1">
      <alignment horizontal="left" vertical="center"/>
    </xf>
    <xf numFmtId="2" fontId="14" fillId="0" borderId="0" xfId="0" applyNumberFormat="1" applyFont="1"/>
    <xf numFmtId="1" fontId="92" fillId="0" borderId="0" xfId="0" applyNumberFormat="1" applyFont="1"/>
    <xf numFmtId="0" fontId="14" fillId="0" borderId="0" xfId="0" applyFont="1" applyFill="1" applyAlignment="1">
      <alignment horizontal="center"/>
    </xf>
    <xf numFmtId="1" fontId="62" fillId="0" borderId="0" xfId="0" applyNumberFormat="1" applyFont="1"/>
    <xf numFmtId="0" fontId="56" fillId="0" borderId="0" xfId="0" applyFont="1" applyAlignment="1">
      <alignment horizontal="center"/>
    </xf>
    <xf numFmtId="0" fontId="56" fillId="2" borderId="0" xfId="0" applyFont="1" applyFill="1"/>
    <xf numFmtId="0" fontId="14" fillId="0" borderId="96" xfId="0" applyFont="1" applyFill="1" applyBorder="1" applyAlignment="1">
      <alignment horizontal="left"/>
    </xf>
    <xf numFmtId="0" fontId="14" fillId="0" borderId="96" xfId="0" applyFont="1" applyFill="1" applyBorder="1"/>
    <xf numFmtId="0" fontId="14" fillId="0" borderId="96" xfId="0" applyFont="1" applyFill="1" applyBorder="1" applyAlignment="1">
      <alignment horizontal="center"/>
    </xf>
    <xf numFmtId="0" fontId="14" fillId="0" borderId="96" xfId="0" applyFont="1" applyFill="1" applyBorder="1" applyAlignment="1">
      <alignment vertical="center"/>
    </xf>
    <xf numFmtId="1" fontId="14" fillId="0" borderId="96" xfId="0" applyNumberFormat="1" applyFont="1" applyFill="1" applyBorder="1" applyAlignment="1">
      <alignment vertical="center"/>
    </xf>
    <xf numFmtId="0" fontId="14" fillId="0" borderId="96" xfId="0" applyFont="1" applyFill="1" applyBorder="1" applyAlignment="1">
      <alignment horizontal="left" vertical="center"/>
    </xf>
    <xf numFmtId="0" fontId="77" fillId="0" borderId="96" xfId="0" applyFont="1" applyFill="1" applyBorder="1" applyAlignment="1">
      <alignment vertical="center"/>
    </xf>
    <xf numFmtId="0" fontId="13" fillId="0" borderId="96" xfId="0" applyFont="1" applyBorder="1" applyAlignment="1">
      <alignment vertical="center"/>
    </xf>
    <xf numFmtId="1" fontId="14" fillId="0" borderId="96" xfId="0" applyNumberFormat="1" applyFont="1" applyBorder="1"/>
    <xf numFmtId="167" fontId="165" fillId="0" borderId="0" xfId="0" applyNumberFormat="1" applyFont="1" applyFill="1" applyBorder="1" applyAlignment="1">
      <alignment horizontal="center" vertical="center"/>
    </xf>
    <xf numFmtId="0" fontId="90" fillId="0" borderId="0" xfId="0" applyFont="1" applyBorder="1" applyAlignment="1">
      <alignment vertical="center"/>
    </xf>
    <xf numFmtId="0" fontId="166" fillId="0" borderId="0" xfId="0" applyFont="1" applyFill="1" applyBorder="1" applyAlignment="1">
      <alignment vertical="center"/>
    </xf>
    <xf numFmtId="1" fontId="167" fillId="0" borderId="0" xfId="0" applyNumberFormat="1" applyFont="1" applyBorder="1" applyAlignment="1">
      <alignment horizontal="center" vertical="center"/>
    </xf>
    <xf numFmtId="0" fontId="167" fillId="0" borderId="0" xfId="0" applyFont="1" applyBorder="1" applyAlignment="1">
      <alignment horizontal="left" vertical="center"/>
    </xf>
    <xf numFmtId="0" fontId="167" fillId="0" borderId="0" xfId="0" applyFont="1" applyFill="1" applyBorder="1" applyAlignment="1">
      <alignment horizontal="left" vertical="center"/>
    </xf>
    <xf numFmtId="166" fontId="167" fillId="0" borderId="0" xfId="0" applyNumberFormat="1" applyFont="1" applyFill="1" applyBorder="1" applyAlignment="1">
      <alignment horizontal="center" vertical="center"/>
    </xf>
    <xf numFmtId="0" fontId="168" fillId="0" borderId="0" xfId="0" applyFont="1"/>
    <xf numFmtId="166" fontId="14" fillId="0" borderId="96" xfId="0" applyNumberFormat="1" applyFont="1" applyBorder="1" applyAlignment="1">
      <alignment horizontal="center" vertical="center"/>
    </xf>
    <xf numFmtId="1" fontId="14" fillId="0" borderId="96" xfId="0" applyNumberFormat="1" applyFont="1" applyFill="1" applyBorder="1" applyAlignment="1">
      <alignment horizontal="center" vertical="center"/>
    </xf>
    <xf numFmtId="166" fontId="2" fillId="0" borderId="96" xfId="0" applyNumberFormat="1" applyFont="1" applyFill="1" applyBorder="1" applyAlignment="1">
      <alignment horizontal="center" vertical="center"/>
    </xf>
    <xf numFmtId="0" fontId="0" fillId="0" borderId="96" xfId="0" applyFont="1" applyBorder="1"/>
    <xf numFmtId="0" fontId="20" fillId="0" borderId="96" xfId="0" applyFont="1" applyFill="1" applyBorder="1" applyAlignment="1">
      <alignment horizontal="center" vertical="center"/>
    </xf>
    <xf numFmtId="0" fontId="13" fillId="0" borderId="96" xfId="0" applyFont="1" applyBorder="1" applyAlignment="1">
      <alignment horizontal="center" vertical="center"/>
    </xf>
    <xf numFmtId="0" fontId="169" fillId="0" borderId="0" xfId="0" applyFont="1"/>
    <xf numFmtId="0" fontId="170" fillId="0" borderId="0" xfId="0" applyFont="1" applyFill="1" applyBorder="1" applyAlignment="1">
      <alignment vertical="center"/>
    </xf>
    <xf numFmtId="1" fontId="90" fillId="0" borderId="0" xfId="0" applyNumberFormat="1" applyFont="1" applyBorder="1" applyAlignment="1">
      <alignment horizontal="center" vertical="center"/>
    </xf>
    <xf numFmtId="0" fontId="90" fillId="0" borderId="0" xfId="0" applyFont="1" applyFill="1" applyBorder="1" applyAlignment="1">
      <alignment horizontal="left" vertical="center"/>
    </xf>
    <xf numFmtId="0" fontId="14" fillId="6" borderId="96" xfId="0" applyFont="1" applyFill="1" applyBorder="1" applyAlignment="1">
      <alignment horizontal="center" vertical="center"/>
    </xf>
    <xf numFmtId="0" fontId="94" fillId="0" borderId="0" xfId="0" applyFont="1" applyFill="1" applyAlignment="1">
      <alignment horizontal="center" vertical="center" wrapText="1"/>
    </xf>
    <xf numFmtId="0" fontId="35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2" fontId="7" fillId="0" borderId="0" xfId="0" applyNumberFormat="1" applyFont="1" applyFill="1" applyAlignment="1">
      <alignment horizontal="right" vertical="center" wrapText="1"/>
    </xf>
    <xf numFmtId="2" fontId="46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61" fillId="0" borderId="0" xfId="0" applyFont="1" applyFill="1" applyAlignment="1">
      <alignment horizontal="center" vertical="center" wrapText="1"/>
    </xf>
    <xf numFmtId="0" fontId="61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left" vertical="center" wrapText="1" indent="1"/>
    </xf>
    <xf numFmtId="0" fontId="6" fillId="0" borderId="7" xfId="0" applyFont="1" applyFill="1" applyBorder="1" applyAlignment="1">
      <alignment horizontal="center" vertical="center"/>
    </xf>
    <xf numFmtId="0" fontId="6" fillId="0" borderId="95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10" fillId="0" borderId="0" xfId="0" applyFont="1" applyFill="1" applyAlignment="1">
      <alignment horizontal="center" vertical="center"/>
    </xf>
    <xf numFmtId="0" fontId="10" fillId="0" borderId="96" xfId="0" applyFont="1" applyFill="1" applyBorder="1" applyAlignment="1">
      <alignment horizontal="center" vertical="center"/>
    </xf>
    <xf numFmtId="0" fontId="35" fillId="0" borderId="4" xfId="0" applyFont="1" applyFill="1" applyBorder="1" applyAlignment="1">
      <alignment horizontal="center" vertical="center"/>
    </xf>
    <xf numFmtId="0" fontId="35" fillId="0" borderId="3" xfId="0" applyFont="1" applyFill="1" applyBorder="1" applyAlignment="1">
      <alignment horizontal="center" vertical="center"/>
    </xf>
    <xf numFmtId="0" fontId="35" fillId="0" borderId="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2" fontId="2" fillId="0" borderId="0" xfId="0" applyNumberFormat="1" applyFont="1" applyFill="1" applyAlignment="1">
      <alignment horizontal="right" vertical="center" wrapText="1"/>
    </xf>
    <xf numFmtId="0" fontId="95" fillId="0" borderId="0" xfId="0" applyFont="1" applyFill="1" applyAlignment="1">
      <alignment horizontal="center" vertical="center"/>
    </xf>
    <xf numFmtId="0" fontId="6" fillId="0" borderId="6" xfId="0" applyFont="1" applyFill="1" applyBorder="1" applyAlignment="1">
      <alignment horizontal="center" vertical="center" textRotation="90"/>
    </xf>
    <xf numFmtId="0" fontId="6" fillId="0" borderId="96" xfId="0" applyFont="1" applyFill="1" applyBorder="1" applyAlignment="1">
      <alignment horizontal="center" vertical="center" textRotation="90"/>
    </xf>
    <xf numFmtId="0" fontId="6" fillId="0" borderId="7" xfId="0" applyFont="1" applyFill="1" applyBorder="1" applyAlignment="1">
      <alignment horizontal="center" vertical="center" wrapText="1"/>
    </xf>
    <xf numFmtId="0" fontId="6" fillId="0" borderId="95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6" fillId="0" borderId="94" xfId="0" applyFont="1" applyFill="1" applyBorder="1" applyAlignment="1">
      <alignment horizontal="center" vertical="center"/>
    </xf>
    <xf numFmtId="2" fontId="6" fillId="0" borderId="4" xfId="0" applyNumberFormat="1" applyFont="1" applyFill="1" applyBorder="1" applyAlignment="1">
      <alignment horizontal="center" vertical="center"/>
    </xf>
    <xf numFmtId="2" fontId="6" fillId="0" borderId="3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91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left" vertical="center"/>
    </xf>
    <xf numFmtId="0" fontId="12" fillId="0" borderId="3" xfId="0" applyFont="1" applyFill="1" applyBorder="1" applyAlignment="1">
      <alignment horizontal="left" vertical="center"/>
    </xf>
    <xf numFmtId="0" fontId="154" fillId="0" borderId="0" xfId="0" applyFont="1" applyFill="1" applyAlignment="1">
      <alignment horizontal="center" vertical="center" wrapText="1"/>
    </xf>
    <xf numFmtId="0" fontId="14" fillId="0" borderId="0" xfId="0" applyFont="1" applyBorder="1" applyAlignment="1">
      <alignment horizontal="left" vertical="center"/>
    </xf>
    <xf numFmtId="0" fontId="25" fillId="0" borderId="0" xfId="0" applyFont="1" applyFill="1" applyAlignment="1">
      <alignment horizontal="center" vertical="center" wrapText="1"/>
    </xf>
    <xf numFmtId="0" fontId="33" fillId="0" borderId="6" xfId="0" applyFont="1" applyBorder="1" applyAlignment="1">
      <alignment horizontal="center" vertical="top"/>
    </xf>
    <xf numFmtId="0" fontId="55" fillId="0" borderId="0" xfId="0" applyFont="1" applyAlignment="1">
      <alignment horizontal="left" wrapText="1"/>
    </xf>
    <xf numFmtId="0" fontId="51" fillId="0" borderId="96" xfId="0" applyFont="1" applyBorder="1" applyAlignment="1">
      <alignment horizontal="center"/>
    </xf>
    <xf numFmtId="0" fontId="37" fillId="0" borderId="5" xfId="0" applyFont="1" applyBorder="1" applyAlignment="1">
      <alignment horizontal="left" vertical="center" wrapText="1"/>
    </xf>
    <xf numFmtId="2" fontId="37" fillId="0" borderId="5" xfId="0" applyNumberFormat="1" applyFont="1" applyBorder="1" applyAlignment="1">
      <alignment horizontal="center" vertical="center" wrapText="1"/>
    </xf>
    <xf numFmtId="0" fontId="37" fillId="0" borderId="5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/>
    </xf>
    <xf numFmtId="0" fontId="55" fillId="0" borderId="66" xfId="0" applyFont="1" applyBorder="1" applyAlignment="1">
      <alignment horizontal="center" vertical="center"/>
    </xf>
    <xf numFmtId="0" fontId="55" fillId="0" borderId="96" xfId="0" applyFont="1" applyBorder="1" applyAlignment="1">
      <alignment horizontal="center" vertical="center"/>
    </xf>
    <xf numFmtId="0" fontId="55" fillId="0" borderId="94" xfId="0" applyFont="1" applyBorder="1" applyAlignment="1">
      <alignment horizontal="center" vertical="center"/>
    </xf>
    <xf numFmtId="0" fontId="37" fillId="0" borderId="0" xfId="0" applyFont="1" applyAlignment="1">
      <alignment horizontal="left" vertical="top" wrapText="1"/>
    </xf>
    <xf numFmtId="0" fontId="37" fillId="0" borderId="5" xfId="0" applyFont="1" applyBorder="1" applyAlignment="1">
      <alignment horizontal="center" vertical="center" textRotation="90"/>
    </xf>
    <xf numFmtId="0" fontId="37" fillId="0" borderId="5" xfId="0" applyFont="1" applyBorder="1" applyAlignment="1">
      <alignment horizontal="center" vertical="center"/>
    </xf>
    <xf numFmtId="0" fontId="37" fillId="0" borderId="7" xfId="0" applyFont="1" applyBorder="1" applyAlignment="1">
      <alignment horizontal="center" vertical="center"/>
    </xf>
    <xf numFmtId="0" fontId="37" fillId="0" borderId="6" xfId="0" applyFont="1" applyBorder="1" applyAlignment="1">
      <alignment horizontal="center" vertical="center"/>
    </xf>
    <xf numFmtId="0" fontId="37" fillId="0" borderId="8" xfId="0" applyFont="1" applyBorder="1" applyAlignment="1">
      <alignment horizontal="center" vertical="center"/>
    </xf>
    <xf numFmtId="0" fontId="37" fillId="0" borderId="95" xfId="0" applyFont="1" applyBorder="1" applyAlignment="1">
      <alignment horizontal="center" vertical="center"/>
    </xf>
    <xf numFmtId="0" fontId="37" fillId="0" borderId="96" xfId="0" applyFont="1" applyBorder="1" applyAlignment="1">
      <alignment horizontal="center" vertical="center"/>
    </xf>
    <xf numFmtId="0" fontId="37" fillId="0" borderId="94" xfId="0" applyFont="1" applyBorder="1" applyAlignment="1">
      <alignment horizontal="center" vertical="center"/>
    </xf>
    <xf numFmtId="0" fontId="136" fillId="0" borderId="5" xfId="0" applyFont="1" applyBorder="1" applyAlignment="1">
      <alignment horizontal="center"/>
    </xf>
    <xf numFmtId="0" fontId="37" fillId="0" borderId="5" xfId="0" applyFont="1" applyBorder="1" applyAlignment="1">
      <alignment horizontal="right"/>
    </xf>
    <xf numFmtId="0" fontId="96" fillId="0" borderId="5" xfId="0" applyFont="1" applyBorder="1" applyAlignment="1">
      <alignment horizontal="center"/>
    </xf>
    <xf numFmtId="0" fontId="37" fillId="0" borderId="5" xfId="0" applyFont="1" applyBorder="1" applyAlignment="1">
      <alignment horizontal="left"/>
    </xf>
    <xf numFmtId="1" fontId="96" fillId="0" borderId="0" xfId="0" applyNumberFormat="1" applyFont="1" applyBorder="1" applyAlignment="1">
      <alignment horizontal="center"/>
    </xf>
    <xf numFmtId="0" fontId="37" fillId="0" borderId="0" xfId="0" applyFont="1" applyAlignment="1">
      <alignment horizontal="left" wrapText="1"/>
    </xf>
    <xf numFmtId="0" fontId="88" fillId="0" borderId="0" xfId="0" applyFont="1" applyAlignment="1">
      <alignment horizontal="center"/>
    </xf>
    <xf numFmtId="0" fontId="79" fillId="0" borderId="96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top"/>
    </xf>
    <xf numFmtId="0" fontId="79" fillId="0" borderId="96" xfId="0" applyFont="1" applyBorder="1" applyAlignment="1">
      <alignment horizontal="center"/>
    </xf>
    <xf numFmtId="0" fontId="37" fillId="0" borderId="0" xfId="0" applyFont="1" applyAlignment="1">
      <alignment horizontal="left"/>
    </xf>
    <xf numFmtId="0" fontId="122" fillId="0" borderId="0" xfId="0" applyFont="1" applyAlignment="1">
      <alignment horizontal="left"/>
    </xf>
    <xf numFmtId="0" fontId="39" fillId="0" borderId="5" xfId="0" applyFont="1" applyFill="1" applyBorder="1" applyAlignment="1">
      <alignment horizontal="center" vertical="center"/>
    </xf>
    <xf numFmtId="0" fontId="56" fillId="0" borderId="5" xfId="0" applyFont="1" applyBorder="1" applyAlignment="1">
      <alignment horizontal="center" vertical="center" wrapText="1"/>
    </xf>
    <xf numFmtId="0" fontId="37" fillId="0" borderId="5" xfId="0" applyFont="1" applyBorder="1" applyAlignment="1">
      <alignment horizontal="center" wrapText="1"/>
    </xf>
    <xf numFmtId="0" fontId="13" fillId="0" borderId="0" xfId="0" applyFont="1" applyFill="1" applyAlignment="1">
      <alignment vertical="center"/>
    </xf>
    <xf numFmtId="0" fontId="37" fillId="0" borderId="0" xfId="0" applyFont="1" applyAlignment="1">
      <alignment horizontal="left" vertical="center"/>
    </xf>
    <xf numFmtId="0" fontId="51" fillId="0" borderId="0" xfId="0" applyFont="1" applyAlignment="1">
      <alignment horizontal="center" vertical="center" wrapText="1"/>
    </xf>
    <xf numFmtId="2" fontId="51" fillId="0" borderId="0" xfId="0" applyNumberFormat="1" applyFont="1" applyAlignment="1">
      <alignment horizontal="center"/>
    </xf>
    <xf numFmtId="0" fontId="95" fillId="0" borderId="0" xfId="0" applyFont="1" applyFill="1" applyAlignment="1">
      <alignment horizontal="center" vertical="center" wrapText="1"/>
    </xf>
    <xf numFmtId="2" fontId="25" fillId="0" borderId="0" xfId="0" applyNumberFormat="1" applyFont="1" applyFill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0" fontId="82" fillId="0" borderId="0" xfId="0" applyFont="1" applyFill="1" applyAlignment="1">
      <alignment horizontal="center" vertical="center"/>
    </xf>
    <xf numFmtId="0" fontId="93" fillId="0" borderId="0" xfId="0" applyFont="1" applyFill="1" applyBorder="1" applyAlignment="1">
      <alignment horizontal="center" vertical="center"/>
    </xf>
    <xf numFmtId="0" fontId="51" fillId="0" borderId="0" xfId="0" applyFont="1" applyAlignment="1">
      <alignment horizontal="left"/>
    </xf>
    <xf numFmtId="0" fontId="37" fillId="0" borderId="0" xfId="0" applyFont="1" applyAlignment="1">
      <alignment horizontal="center"/>
    </xf>
    <xf numFmtId="0" fontId="96" fillId="0" borderId="5" xfId="0" applyFont="1" applyBorder="1" applyAlignment="1">
      <alignment horizontal="center" vertical="center" wrapText="1"/>
    </xf>
    <xf numFmtId="0" fontId="55" fillId="0" borderId="4" xfId="0" applyFont="1" applyBorder="1" applyAlignment="1">
      <alignment horizontal="center"/>
    </xf>
    <xf numFmtId="0" fontId="55" fillId="0" borderId="2" xfId="0" applyFont="1" applyBorder="1" applyAlignment="1">
      <alignment horizontal="center"/>
    </xf>
    <xf numFmtId="0" fontId="37" fillId="0" borderId="4" xfId="0" applyFont="1" applyBorder="1" applyAlignment="1">
      <alignment horizontal="left"/>
    </xf>
    <xf numFmtId="0" fontId="37" fillId="0" borderId="3" xfId="0" applyFont="1" applyBorder="1" applyAlignment="1">
      <alignment horizontal="left"/>
    </xf>
    <xf numFmtId="0" fontId="37" fillId="0" borderId="2" xfId="0" applyFont="1" applyBorder="1" applyAlignment="1">
      <alignment horizontal="left"/>
    </xf>
    <xf numFmtId="1" fontId="96" fillId="0" borderId="5" xfId="0" applyNumberFormat="1" applyFont="1" applyBorder="1" applyAlignment="1">
      <alignment horizontal="center" vertical="center" wrapText="1"/>
    </xf>
    <xf numFmtId="165" fontId="96" fillId="0" borderId="5" xfId="0" applyNumberFormat="1" applyFont="1" applyBorder="1" applyAlignment="1">
      <alignment horizontal="center" vertical="center" wrapText="1"/>
    </xf>
    <xf numFmtId="0" fontId="37" fillId="0" borderId="42" xfId="0" applyFont="1" applyBorder="1" applyAlignment="1">
      <alignment horizontal="center" vertical="center" textRotation="90"/>
    </xf>
    <xf numFmtId="0" fontId="37" fillId="0" borderId="55" xfId="0" applyFont="1" applyBorder="1" applyAlignment="1">
      <alignment horizontal="center" vertical="center" textRotation="90"/>
    </xf>
    <xf numFmtId="0" fontId="37" fillId="0" borderId="26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0" fontId="37" fillId="0" borderId="42" xfId="0" applyFont="1" applyBorder="1" applyAlignment="1">
      <alignment horizontal="center" vertical="center"/>
    </xf>
    <xf numFmtId="0" fontId="37" fillId="0" borderId="46" xfId="0" applyFont="1" applyBorder="1" applyAlignment="1">
      <alignment horizontal="center" vertical="center"/>
    </xf>
    <xf numFmtId="0" fontId="37" fillId="0" borderId="77" xfId="0" applyFont="1" applyBorder="1" applyAlignment="1">
      <alignment horizontal="center" vertical="center"/>
    </xf>
    <xf numFmtId="0" fontId="37" fillId="0" borderId="31" xfId="0" applyFont="1" applyBorder="1" applyAlignment="1">
      <alignment horizontal="center" vertical="center"/>
    </xf>
    <xf numFmtId="0" fontId="37" fillId="0" borderId="32" xfId="0" applyFont="1" applyBorder="1" applyAlignment="1">
      <alignment horizontal="center" vertical="center"/>
    </xf>
    <xf numFmtId="0" fontId="37" fillId="0" borderId="33" xfId="0" applyFont="1" applyBorder="1" applyAlignment="1">
      <alignment horizontal="center" vertical="center"/>
    </xf>
    <xf numFmtId="0" fontId="37" fillId="0" borderId="40" xfId="0" applyFont="1" applyBorder="1" applyAlignment="1">
      <alignment horizontal="center" vertical="center"/>
    </xf>
    <xf numFmtId="0" fontId="37" fillId="0" borderId="49" xfId="0" applyFont="1" applyBorder="1" applyAlignment="1">
      <alignment horizontal="center" vertical="center"/>
    </xf>
    <xf numFmtId="0" fontId="37" fillId="0" borderId="57" xfId="0" applyFont="1" applyBorder="1" applyAlignment="1">
      <alignment horizontal="center" vertical="center"/>
    </xf>
    <xf numFmtId="0" fontId="28" fillId="0" borderId="94" xfId="0" applyFont="1" applyFill="1" applyBorder="1" applyAlignment="1">
      <alignment horizontal="center" vertical="center" wrapText="1"/>
    </xf>
    <xf numFmtId="0" fontId="28" fillId="0" borderId="91" xfId="0" applyFont="1" applyFill="1" applyBorder="1" applyAlignment="1">
      <alignment horizontal="center" vertical="center" wrapText="1"/>
    </xf>
    <xf numFmtId="0" fontId="28" fillId="0" borderId="92" xfId="0" applyFont="1" applyFill="1" applyBorder="1" applyAlignment="1">
      <alignment horizontal="center" vertical="center" wrapText="1"/>
    </xf>
    <xf numFmtId="0" fontId="28" fillId="0" borderId="52" xfId="0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 wrapText="1"/>
    </xf>
    <xf numFmtId="0" fontId="28" fillId="0" borderId="53" xfId="0" applyFont="1" applyFill="1" applyBorder="1" applyAlignment="1">
      <alignment horizontal="center" vertical="center" wrapText="1"/>
    </xf>
    <xf numFmtId="0" fontId="28" fillId="0" borderId="52" xfId="0" applyFont="1" applyBorder="1" applyAlignment="1">
      <alignment horizontal="center" wrapText="1"/>
    </xf>
    <xf numFmtId="0" fontId="28" fillId="0" borderId="3" xfId="0" applyFont="1" applyBorder="1" applyAlignment="1">
      <alignment horizontal="center" wrapText="1"/>
    </xf>
    <xf numFmtId="0" fontId="28" fillId="0" borderId="53" xfId="0" applyFont="1" applyBorder="1" applyAlignment="1">
      <alignment horizontal="center" wrapText="1"/>
    </xf>
    <xf numFmtId="0" fontId="122" fillId="0" borderId="52" xfId="0" applyFont="1" applyBorder="1" applyAlignment="1">
      <alignment horizontal="center" vertical="center" wrapText="1"/>
    </xf>
    <xf numFmtId="0" fontId="122" fillId="0" borderId="3" xfId="0" applyFont="1" applyBorder="1" applyAlignment="1">
      <alignment horizontal="center" vertical="center" wrapText="1"/>
    </xf>
    <xf numFmtId="0" fontId="122" fillId="0" borderId="53" xfId="0" applyFont="1" applyBorder="1" applyAlignment="1">
      <alignment horizontal="center" vertical="center" wrapText="1"/>
    </xf>
    <xf numFmtId="0" fontId="28" fillId="0" borderId="93" xfId="0" applyFont="1" applyFill="1" applyBorder="1" applyAlignment="1">
      <alignment horizontal="center" vertical="center" wrapText="1"/>
    </xf>
    <xf numFmtId="0" fontId="28" fillId="0" borderId="96" xfId="0" applyFont="1" applyFill="1" applyBorder="1" applyAlignment="1">
      <alignment horizontal="center" vertical="center" wrapText="1"/>
    </xf>
    <xf numFmtId="0" fontId="28" fillId="0" borderId="97" xfId="0" applyFont="1" applyFill="1" applyBorder="1" applyAlignment="1">
      <alignment horizontal="center" vertical="center" wrapText="1"/>
    </xf>
    <xf numFmtId="0" fontId="51" fillId="0" borderId="96" xfId="0" applyFont="1" applyBorder="1" applyAlignment="1">
      <alignment horizontal="center" vertical="top" wrapText="1"/>
    </xf>
    <xf numFmtId="0" fontId="37" fillId="0" borderId="6" xfId="0" applyFont="1" applyBorder="1" applyAlignment="1">
      <alignment horizontal="center"/>
    </xf>
    <xf numFmtId="0" fontId="55" fillId="0" borderId="0" xfId="0" applyFont="1" applyAlignment="1">
      <alignment horizontal="center" wrapText="1"/>
    </xf>
    <xf numFmtId="0" fontId="51" fillId="0" borderId="0" xfId="0" applyFont="1" applyAlignment="1">
      <alignment horizontal="right"/>
    </xf>
    <xf numFmtId="0" fontId="51" fillId="0" borderId="1" xfId="0" applyFont="1" applyBorder="1" applyAlignment="1">
      <alignment horizontal="center"/>
    </xf>
    <xf numFmtId="0" fontId="55" fillId="0" borderId="1" xfId="0" applyFont="1" applyBorder="1" applyAlignment="1">
      <alignment horizontal="center"/>
    </xf>
    <xf numFmtId="0" fontId="51" fillId="0" borderId="0" xfId="0" applyFont="1" applyAlignment="1">
      <alignment horizontal="center"/>
    </xf>
    <xf numFmtId="0" fontId="37" fillId="0" borderId="7" xfId="0" applyFont="1" applyBorder="1" applyAlignment="1">
      <alignment horizontal="center" vertical="center" wrapText="1"/>
    </xf>
    <xf numFmtId="0" fontId="37" fillId="0" borderId="8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165" fontId="37" fillId="0" borderId="5" xfId="0" applyNumberFormat="1" applyFont="1" applyBorder="1" applyAlignment="1">
      <alignment horizontal="center" vertical="center" wrapText="1"/>
    </xf>
    <xf numFmtId="0" fontId="37" fillId="0" borderId="5" xfId="0" applyFont="1" applyBorder="1" applyAlignment="1">
      <alignment horizontal="center"/>
    </xf>
    <xf numFmtId="0" fontId="28" fillId="0" borderId="2" xfId="0" applyFont="1" applyFill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center" vertical="center" wrapText="1"/>
    </xf>
    <xf numFmtId="0" fontId="28" fillId="0" borderId="29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166" fontId="26" fillId="0" borderId="4" xfId="0" applyNumberFormat="1" applyFont="1" applyFill="1" applyBorder="1" applyAlignment="1">
      <alignment horizontal="center" vertical="center" wrapText="1"/>
    </xf>
    <xf numFmtId="166" fontId="26" fillId="0" borderId="2" xfId="0" applyNumberFormat="1" applyFont="1" applyFill="1" applyBorder="1" applyAlignment="1">
      <alignment horizontal="center" vertical="center"/>
    </xf>
    <xf numFmtId="0" fontId="105" fillId="0" borderId="0" xfId="1" applyFont="1" applyBorder="1" applyAlignment="1">
      <alignment horizontal="center" vertical="center"/>
    </xf>
    <xf numFmtId="0" fontId="107" fillId="0" borderId="0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 wrapText="1"/>
    </xf>
    <xf numFmtId="0" fontId="108" fillId="0" borderId="0" xfId="1" applyFont="1" applyBorder="1" applyAlignment="1">
      <alignment horizontal="center" vertical="center" wrapText="1"/>
    </xf>
    <xf numFmtId="174" fontId="109" fillId="0" borderId="0" xfId="1" applyNumberFormat="1" applyFont="1" applyBorder="1" applyAlignment="1">
      <alignment horizontal="left" vertical="center" indent="3"/>
    </xf>
    <xf numFmtId="0" fontId="113" fillId="0" borderId="0" xfId="2" applyFont="1" applyAlignment="1">
      <alignment horizontal="right"/>
    </xf>
    <xf numFmtId="0" fontId="113" fillId="0" borderId="0" xfId="2" applyFont="1" applyAlignment="1">
      <alignment horizontal="center" wrapText="1"/>
    </xf>
    <xf numFmtId="0" fontId="113" fillId="0" borderId="0" xfId="2" applyFont="1" applyAlignment="1">
      <alignment horizontal="center"/>
    </xf>
    <xf numFmtId="0" fontId="113" fillId="0" borderId="13" xfId="2" applyFont="1" applyBorder="1" applyAlignment="1">
      <alignment horizontal="center" vertical="center" wrapText="1"/>
    </xf>
    <xf numFmtId="0" fontId="113" fillId="0" borderId="37" xfId="2" applyFont="1" applyBorder="1" applyAlignment="1">
      <alignment horizontal="center" vertical="center" wrapText="1"/>
    </xf>
    <xf numFmtId="0" fontId="113" fillId="0" borderId="15" xfId="2" applyFont="1" applyBorder="1" applyAlignment="1">
      <alignment horizontal="center" vertical="center" wrapText="1"/>
    </xf>
    <xf numFmtId="0" fontId="113" fillId="0" borderId="38" xfId="2" applyFont="1" applyBorder="1" applyAlignment="1">
      <alignment horizontal="center" vertical="center" wrapText="1"/>
    </xf>
    <xf numFmtId="0" fontId="113" fillId="0" borderId="39" xfId="2" applyFont="1" applyBorder="1" applyAlignment="1">
      <alignment horizontal="center" vertical="center" wrapText="1"/>
    </xf>
    <xf numFmtId="0" fontId="113" fillId="0" borderId="76" xfId="2" applyFont="1" applyBorder="1" applyAlignment="1">
      <alignment horizontal="center" vertical="center" wrapText="1"/>
    </xf>
    <xf numFmtId="0" fontId="114" fillId="0" borderId="15" xfId="2" applyFont="1" applyBorder="1" applyAlignment="1">
      <alignment horizontal="center" vertical="center" wrapText="1"/>
    </xf>
    <xf numFmtId="0" fontId="114" fillId="0" borderId="38" xfId="2" applyFont="1" applyBorder="1" applyAlignment="1">
      <alignment horizontal="center" vertical="center" wrapText="1"/>
    </xf>
    <xf numFmtId="0" fontId="113" fillId="0" borderId="19" xfId="2" applyFont="1" applyBorder="1" applyAlignment="1">
      <alignment horizontal="center" vertical="center" wrapText="1"/>
    </xf>
    <xf numFmtId="0" fontId="113" fillId="0" borderId="45" xfId="2" applyFont="1" applyBorder="1" applyAlignment="1">
      <alignment horizontal="center" vertical="center" wrapText="1"/>
    </xf>
    <xf numFmtId="0" fontId="113" fillId="0" borderId="30" xfId="2" applyFont="1" applyBorder="1" applyAlignment="1">
      <alignment horizontal="center" vertical="center" wrapText="1"/>
    </xf>
    <xf numFmtId="0" fontId="112" fillId="0" borderId="90" xfId="2" applyBorder="1" applyAlignment="1">
      <alignment horizontal="center" vertical="center" wrapText="1"/>
    </xf>
    <xf numFmtId="0" fontId="113" fillId="0" borderId="9" xfId="2" applyFont="1" applyBorder="1" applyAlignment="1">
      <alignment horizontal="center" vertical="center" wrapText="1"/>
    </xf>
    <xf numFmtId="0" fontId="112" fillId="0" borderId="91" xfId="2" applyBorder="1" applyAlignment="1">
      <alignment horizontal="center" vertical="center" wrapText="1"/>
    </xf>
    <xf numFmtId="0" fontId="113" fillId="0" borderId="70" xfId="2" applyFont="1" applyBorder="1" applyAlignment="1">
      <alignment horizontal="center" vertical="center" wrapText="1"/>
    </xf>
    <xf numFmtId="0" fontId="113" fillId="0" borderId="74" xfId="2" applyFont="1" applyBorder="1" applyAlignment="1">
      <alignment horizontal="center" vertical="center" wrapText="1"/>
    </xf>
    <xf numFmtId="0" fontId="112" fillId="0" borderId="92" xfId="2" applyBorder="1" applyAlignment="1">
      <alignment horizontal="center" vertical="center" wrapText="1"/>
    </xf>
    <xf numFmtId="0" fontId="113" fillId="0" borderId="26" xfId="2" applyFont="1" applyBorder="1" applyAlignment="1">
      <alignment horizontal="center" vertical="center" wrapText="1"/>
    </xf>
    <xf numFmtId="0" fontId="112" fillId="0" borderId="28" xfId="2" applyBorder="1" applyAlignment="1">
      <alignment horizontal="center" vertical="center" wrapText="1"/>
    </xf>
    <xf numFmtId="0" fontId="113" fillId="0" borderId="14" xfId="2" applyFont="1" applyBorder="1" applyAlignment="1">
      <alignment horizontal="center" vertical="center" wrapText="1"/>
    </xf>
    <xf numFmtId="0" fontId="112" fillId="0" borderId="5" xfId="2" applyBorder="1" applyAlignment="1">
      <alignment horizontal="center" vertical="center" wrapText="1"/>
    </xf>
    <xf numFmtId="0" fontId="113" fillId="0" borderId="16" xfId="2" applyFont="1" applyBorder="1" applyAlignment="1">
      <alignment horizontal="center" vertical="center" wrapText="1"/>
    </xf>
    <xf numFmtId="0" fontId="112" fillId="0" borderId="29" xfId="2" applyBorder="1" applyAlignment="1">
      <alignment horizontal="center" vertical="center" wrapText="1"/>
    </xf>
    <xf numFmtId="0" fontId="113" fillId="0" borderId="73" xfId="2" applyFont="1" applyBorder="1" applyAlignment="1">
      <alignment horizontal="center" vertical="center" wrapText="1"/>
    </xf>
    <xf numFmtId="0" fontId="112" fillId="0" borderId="37" xfId="2" applyBorder="1" applyAlignment="1">
      <alignment horizontal="center" vertical="center" wrapText="1"/>
    </xf>
    <xf numFmtId="0" fontId="112" fillId="0" borderId="38" xfId="2" applyBorder="1" applyAlignment="1">
      <alignment horizontal="center" vertical="center" wrapText="1"/>
    </xf>
    <xf numFmtId="0" fontId="113" fillId="0" borderId="72" xfId="2" applyFont="1" applyBorder="1" applyAlignment="1">
      <alignment horizontal="center" vertical="center" wrapText="1"/>
    </xf>
    <xf numFmtId="0" fontId="112" fillId="0" borderId="45" xfId="2" applyBorder="1" applyAlignment="1">
      <alignment horizontal="center" vertical="center" wrapText="1"/>
    </xf>
    <xf numFmtId="0" fontId="113" fillId="0" borderId="28" xfId="2" applyFont="1" applyBorder="1" applyAlignment="1">
      <alignment horizontal="center" vertical="center" wrapText="1"/>
    </xf>
    <xf numFmtId="0" fontId="112" fillId="0" borderId="31" xfId="2" applyBorder="1" applyAlignment="1">
      <alignment horizontal="center" vertical="center" wrapText="1"/>
    </xf>
    <xf numFmtId="0" fontId="113" fillId="0" borderId="5" xfId="2" applyFont="1" applyBorder="1" applyAlignment="1">
      <alignment horizontal="center" vertical="center" wrapText="1"/>
    </xf>
    <xf numFmtId="0" fontId="112" fillId="0" borderId="32" xfId="2" applyBorder="1" applyAlignment="1">
      <alignment horizontal="center" vertical="center" wrapText="1"/>
    </xf>
    <xf numFmtId="0" fontId="113" fillId="0" borderId="29" xfId="2" applyFont="1" applyBorder="1" applyAlignment="1">
      <alignment horizontal="center" vertical="center" wrapText="1"/>
    </xf>
    <xf numFmtId="0" fontId="112" fillId="0" borderId="33" xfId="2" applyBorder="1" applyAlignment="1">
      <alignment horizontal="center" vertical="center" wrapText="1"/>
    </xf>
    <xf numFmtId="0" fontId="116" fillId="0" borderId="9" xfId="2" applyFont="1" applyBorder="1" applyAlignment="1">
      <alignment horizontal="center" vertical="center" wrapText="1"/>
    </xf>
    <xf numFmtId="0" fontId="116" fillId="0" borderId="91" xfId="2" applyFont="1" applyBorder="1" applyAlignment="1">
      <alignment horizontal="center" vertical="center" wrapText="1"/>
    </xf>
    <xf numFmtId="0" fontId="116" fillId="0" borderId="15" xfId="2" applyFont="1" applyBorder="1" applyAlignment="1">
      <alignment horizontal="center" vertical="center" wrapText="1"/>
    </xf>
    <xf numFmtId="0" fontId="116" fillId="0" borderId="38" xfId="2" applyFont="1" applyBorder="1" applyAlignment="1">
      <alignment horizontal="center" vertical="center" wrapText="1"/>
    </xf>
    <xf numFmtId="0" fontId="113" fillId="0" borderId="91" xfId="2" applyFont="1" applyBorder="1" applyAlignment="1">
      <alignment horizontal="center" vertical="center" wrapText="1"/>
    </xf>
    <xf numFmtId="0" fontId="113" fillId="0" borderId="90" xfId="2" applyFont="1" applyBorder="1" applyAlignment="1">
      <alignment horizontal="center" vertical="center" wrapText="1"/>
    </xf>
    <xf numFmtId="0" fontId="113" fillId="0" borderId="92" xfId="2" applyFont="1" applyBorder="1" applyAlignment="1">
      <alignment horizontal="center" vertical="center" wrapText="1"/>
    </xf>
    <xf numFmtId="0" fontId="112" fillId="0" borderId="73" xfId="2" applyBorder="1" applyAlignment="1">
      <alignment horizontal="center" vertical="center" wrapText="1"/>
    </xf>
    <xf numFmtId="0" fontId="116" fillId="0" borderId="70" xfId="2" applyFont="1" applyBorder="1" applyAlignment="1">
      <alignment horizontal="center" vertical="center" wrapText="1"/>
    </xf>
    <xf numFmtId="0" fontId="112" fillId="0" borderId="70" xfId="2" applyBorder="1" applyAlignment="1">
      <alignment horizontal="center" vertical="center" wrapText="1"/>
    </xf>
    <xf numFmtId="0" fontId="112" fillId="0" borderId="72" xfId="2" applyBorder="1" applyAlignment="1">
      <alignment horizontal="center" vertical="center" wrapText="1"/>
    </xf>
    <xf numFmtId="0" fontId="113" fillId="0" borderId="52" xfId="2" applyFont="1" applyBorder="1" applyAlignment="1">
      <alignment horizontal="center" vertical="center" wrapText="1"/>
    </xf>
    <xf numFmtId="0" fontId="112" fillId="0" borderId="52" xfId="2" applyBorder="1" applyAlignment="1">
      <alignment horizontal="center" vertical="center" wrapText="1"/>
    </xf>
    <xf numFmtId="0" fontId="116" fillId="0" borderId="28" xfId="2" applyFont="1" applyBorder="1" applyAlignment="1">
      <alignment horizontal="center" vertical="center" wrapText="1"/>
    </xf>
    <xf numFmtId="0" fontId="113" fillId="0" borderId="42" xfId="2" applyFont="1" applyBorder="1" applyAlignment="1">
      <alignment horizontal="center" vertical="center" wrapText="1"/>
    </xf>
    <xf numFmtId="0" fontId="116" fillId="0" borderId="26" xfId="2" applyFont="1" applyBorder="1" applyAlignment="1">
      <alignment horizontal="center" vertical="center" wrapText="1"/>
    </xf>
    <xf numFmtId="0" fontId="112" fillId="0" borderId="55" xfId="2" applyBorder="1" applyAlignment="1">
      <alignment horizontal="center" vertical="center" wrapText="1"/>
    </xf>
    <xf numFmtId="0" fontId="116" fillId="0" borderId="31" xfId="2" applyFont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left" vertical="center" wrapText="1"/>
    </xf>
    <xf numFmtId="0" fontId="19" fillId="0" borderId="39" xfId="0" applyFont="1" applyBorder="1" applyAlignment="1">
      <alignment horizontal="center" vertical="center" wrapText="1"/>
    </xf>
    <xf numFmtId="0" fontId="19" fillId="0" borderId="40" xfId="0" applyFont="1" applyBorder="1" applyAlignment="1">
      <alignment horizontal="center" vertical="center" wrapText="1"/>
    </xf>
    <xf numFmtId="166" fontId="78" fillId="0" borderId="17" xfId="0" applyNumberFormat="1" applyFont="1" applyBorder="1" applyAlignment="1">
      <alignment horizontal="center" vertical="center" wrapText="1"/>
    </xf>
    <xf numFmtId="166" fontId="78" fillId="0" borderId="44" xfId="0" applyNumberFormat="1" applyFont="1" applyBorder="1" applyAlignment="1">
      <alignment horizontal="center" vertical="center" wrapText="1"/>
    </xf>
    <xf numFmtId="0" fontId="68" fillId="0" borderId="0" xfId="0" applyFont="1" applyAlignment="1">
      <alignment horizontal="center" vertical="center"/>
    </xf>
    <xf numFmtId="0" fontId="7" fillId="0" borderId="13" xfId="0" applyFont="1" applyFill="1" applyBorder="1" applyAlignment="1">
      <alignment horizontal="center" vertical="center" textRotation="90"/>
    </xf>
    <xf numFmtId="0" fontId="7" fillId="0" borderId="37" xfId="0" applyFont="1" applyFill="1" applyBorder="1" applyAlignment="1">
      <alignment horizontal="center" vertical="center" textRotation="90"/>
    </xf>
    <xf numFmtId="0" fontId="19" fillId="0" borderId="14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33" fillId="0" borderId="50" xfId="0" applyFont="1" applyBorder="1" applyAlignment="1">
      <alignment horizontal="center" vertical="center" wrapText="1"/>
    </xf>
    <xf numFmtId="0" fontId="33" fillId="0" borderId="64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45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 textRotation="90"/>
    </xf>
    <xf numFmtId="0" fontId="19" fillId="0" borderId="37" xfId="0" applyFont="1" applyBorder="1" applyAlignment="1">
      <alignment horizontal="center" vertical="center" textRotation="90"/>
    </xf>
    <xf numFmtId="0" fontId="19" fillId="0" borderId="19" xfId="0" applyFont="1" applyBorder="1" applyAlignment="1">
      <alignment vertical="center" textRotation="90"/>
    </xf>
    <xf numFmtId="0" fontId="19" fillId="0" borderId="45" xfId="0" applyFont="1" applyBorder="1" applyAlignment="1">
      <alignment vertical="center" textRotation="90"/>
    </xf>
    <xf numFmtId="166" fontId="11" fillId="0" borderId="17" xfId="0" applyNumberFormat="1" applyFont="1" applyFill="1" applyBorder="1" applyAlignment="1">
      <alignment horizontal="center" vertical="center" wrapText="1"/>
    </xf>
    <xf numFmtId="166" fontId="11" fillId="0" borderId="18" xfId="0" applyNumberFormat="1" applyFont="1" applyFill="1" applyBorder="1" applyAlignment="1">
      <alignment horizontal="center" vertical="center" wrapText="1"/>
    </xf>
    <xf numFmtId="0" fontId="72" fillId="7" borderId="0" xfId="0" applyFont="1" applyFill="1" applyAlignment="1">
      <alignment horizontal="left" vertical="center" wrapText="1"/>
    </xf>
    <xf numFmtId="166" fontId="12" fillId="7" borderId="52" xfId="0" applyNumberFormat="1" applyFont="1" applyFill="1" applyBorder="1" applyAlignment="1">
      <alignment horizontal="center" vertical="center" wrapText="1"/>
    </xf>
    <xf numFmtId="166" fontId="12" fillId="7" borderId="3" xfId="0" applyNumberFormat="1" applyFont="1" applyFill="1" applyBorder="1" applyAlignment="1">
      <alignment horizontal="center" vertical="center" wrapText="1"/>
    </xf>
    <xf numFmtId="166" fontId="12" fillId="7" borderId="53" xfId="0" applyNumberFormat="1" applyFont="1" applyFill="1" applyBorder="1" applyAlignment="1">
      <alignment horizontal="center" vertical="center" wrapText="1"/>
    </xf>
    <xf numFmtId="0" fontId="23" fillId="7" borderId="50" xfId="0" applyFont="1" applyFill="1" applyBorder="1" applyAlignment="1">
      <alignment horizontal="center" vertical="center"/>
    </xf>
    <xf numFmtId="0" fontId="23" fillId="7" borderId="20" xfId="0" applyFont="1" applyFill="1" applyBorder="1" applyAlignment="1">
      <alignment horizontal="center" vertical="center"/>
    </xf>
    <xf numFmtId="0" fontId="23" fillId="7" borderId="21" xfId="0" applyFont="1" applyFill="1" applyBorder="1" applyAlignment="1">
      <alignment horizontal="center" vertical="center"/>
    </xf>
    <xf numFmtId="0" fontId="23" fillId="7" borderId="64" xfId="0" applyFont="1" applyFill="1" applyBorder="1" applyAlignment="1">
      <alignment horizontal="center" vertical="center"/>
    </xf>
    <xf numFmtId="0" fontId="23" fillId="7" borderId="58" xfId="0" applyFont="1" applyFill="1" applyBorder="1" applyAlignment="1">
      <alignment horizontal="center" vertical="center"/>
    </xf>
    <xf numFmtId="0" fontId="23" fillId="7" borderId="59" xfId="0" applyFont="1" applyFill="1" applyBorder="1" applyAlignment="1">
      <alignment horizontal="center" vertical="center"/>
    </xf>
    <xf numFmtId="0" fontId="44" fillId="7" borderId="50" xfId="0" applyFont="1" applyFill="1" applyBorder="1" applyAlignment="1">
      <alignment horizontal="center" vertical="center"/>
    </xf>
    <xf numFmtId="0" fontId="44" fillId="7" borderId="20" xfId="0" applyFont="1" applyFill="1" applyBorder="1" applyAlignment="1">
      <alignment horizontal="center" vertical="center"/>
    </xf>
    <xf numFmtId="0" fontId="44" fillId="7" borderId="21" xfId="0" applyFont="1" applyFill="1" applyBorder="1" applyAlignment="1">
      <alignment horizontal="center" vertical="center"/>
    </xf>
    <xf numFmtId="0" fontId="44" fillId="7" borderId="64" xfId="0" applyFont="1" applyFill="1" applyBorder="1" applyAlignment="1">
      <alignment horizontal="center" vertical="center"/>
    </xf>
    <xf numFmtId="0" fontId="44" fillId="7" borderId="58" xfId="0" applyFont="1" applyFill="1" applyBorder="1" applyAlignment="1">
      <alignment horizontal="center" vertical="center"/>
    </xf>
    <xf numFmtId="0" fontId="44" fillId="7" borderId="59" xfId="0" applyFont="1" applyFill="1" applyBorder="1" applyAlignment="1">
      <alignment horizontal="center" vertical="center"/>
    </xf>
    <xf numFmtId="166" fontId="61" fillId="7" borderId="50" xfId="0" applyNumberFormat="1" applyFont="1" applyFill="1" applyBorder="1" applyAlignment="1">
      <alignment horizontal="center" vertical="center" wrapText="1"/>
    </xf>
    <xf numFmtId="166" fontId="61" fillId="7" borderId="20" xfId="0" applyNumberFormat="1" applyFont="1" applyFill="1" applyBorder="1" applyAlignment="1">
      <alignment horizontal="center" vertical="center" wrapText="1"/>
    </xf>
    <xf numFmtId="166" fontId="61" fillId="7" borderId="21" xfId="0" applyNumberFormat="1" applyFont="1" applyFill="1" applyBorder="1" applyAlignment="1">
      <alignment horizontal="center" vertical="center" wrapText="1"/>
    </xf>
    <xf numFmtId="166" fontId="61" fillId="7" borderId="63" xfId="0" applyNumberFormat="1" applyFont="1" applyFill="1" applyBorder="1" applyAlignment="1">
      <alignment horizontal="center" vertical="center" wrapText="1"/>
    </xf>
    <xf numFmtId="166" fontId="61" fillId="7" borderId="0" xfId="0" applyNumberFormat="1" applyFont="1" applyFill="1" applyBorder="1" applyAlignment="1">
      <alignment horizontal="center" vertical="center" wrapText="1"/>
    </xf>
    <xf numFmtId="166" fontId="61" fillId="7" borderId="60" xfId="0" applyNumberFormat="1" applyFont="1" applyFill="1" applyBorder="1" applyAlignment="1">
      <alignment horizontal="center" vertical="center" wrapText="1"/>
    </xf>
    <xf numFmtId="166" fontId="61" fillId="7" borderId="64" xfId="0" applyNumberFormat="1" applyFont="1" applyFill="1" applyBorder="1" applyAlignment="1">
      <alignment horizontal="center" vertical="center" wrapText="1"/>
    </xf>
    <xf numFmtId="166" fontId="61" fillId="7" borderId="58" xfId="0" applyNumberFormat="1" applyFont="1" applyFill="1" applyBorder="1" applyAlignment="1">
      <alignment horizontal="center" vertical="center" wrapText="1"/>
    </xf>
    <xf numFmtId="166" fontId="61" fillId="7" borderId="59" xfId="0" applyNumberFormat="1" applyFont="1" applyFill="1" applyBorder="1" applyAlignment="1">
      <alignment horizontal="center" vertical="center" wrapText="1"/>
    </xf>
    <xf numFmtId="166" fontId="3" fillId="7" borderId="4" xfId="0" applyNumberFormat="1" applyFont="1" applyFill="1" applyBorder="1" applyAlignment="1">
      <alignment horizontal="center" vertical="center" wrapText="1"/>
    </xf>
    <xf numFmtId="166" fontId="3" fillId="7" borderId="3" xfId="0" applyNumberFormat="1" applyFont="1" applyFill="1" applyBorder="1" applyAlignment="1">
      <alignment horizontal="center" vertical="center" wrapText="1"/>
    </xf>
    <xf numFmtId="166" fontId="3" fillId="7" borderId="2" xfId="0" applyNumberFormat="1" applyFont="1" applyFill="1" applyBorder="1" applyAlignment="1">
      <alignment horizontal="center" vertical="center" wrapText="1"/>
    </xf>
    <xf numFmtId="166" fontId="3" fillId="7" borderId="53" xfId="0" applyNumberFormat="1" applyFont="1" applyFill="1" applyBorder="1" applyAlignment="1">
      <alignment horizontal="center" vertical="center" wrapText="1"/>
    </xf>
    <xf numFmtId="166" fontId="3" fillId="7" borderId="40" xfId="0" applyNumberFormat="1" applyFont="1" applyFill="1" applyBorder="1" applyAlignment="1">
      <alignment horizontal="center" vertical="center" wrapText="1"/>
    </xf>
    <xf numFmtId="166" fontId="3" fillId="7" borderId="49" xfId="0" applyNumberFormat="1" applyFont="1" applyFill="1" applyBorder="1" applyAlignment="1">
      <alignment horizontal="center" vertical="center" wrapText="1"/>
    </xf>
    <xf numFmtId="166" fontId="3" fillId="7" borderId="34" xfId="0" applyNumberFormat="1" applyFont="1" applyFill="1" applyBorder="1" applyAlignment="1">
      <alignment horizontal="center" vertical="center" wrapText="1"/>
    </xf>
    <xf numFmtId="166" fontId="3" fillId="7" borderId="57" xfId="0" applyNumberFormat="1" applyFont="1" applyFill="1" applyBorder="1" applyAlignment="1">
      <alignment horizontal="center" vertical="center" wrapText="1"/>
    </xf>
    <xf numFmtId="0" fontId="65" fillId="0" borderId="1" xfId="0" applyFont="1" applyBorder="1" applyAlignment="1">
      <alignment horizontal="center"/>
    </xf>
    <xf numFmtId="0" fontId="39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65" fillId="0" borderId="1" xfId="0" applyFont="1" applyBorder="1" applyAlignment="1">
      <alignment horizontal="center" vertical="center"/>
    </xf>
    <xf numFmtId="0" fontId="58" fillId="0" borderId="4" xfId="0" applyFont="1" applyBorder="1" applyAlignment="1">
      <alignment horizontal="left" vertical="center"/>
    </xf>
    <xf numFmtId="0" fontId="58" fillId="0" borderId="2" xfId="0" applyFont="1" applyBorder="1" applyAlignment="1">
      <alignment horizontal="left" vertical="center"/>
    </xf>
    <xf numFmtId="0" fontId="58" fillId="0" borderId="1" xfId="0" applyFont="1" applyBorder="1" applyAlignment="1">
      <alignment horizontal="left" indent="1"/>
    </xf>
    <xf numFmtId="0" fontId="58" fillId="0" borderId="3" xfId="0" applyFont="1" applyBorder="1" applyAlignment="1">
      <alignment horizontal="left" vertical="center" wrapText="1" indent="1"/>
    </xf>
    <xf numFmtId="0" fontId="15" fillId="0" borderId="0" xfId="0" applyFont="1" applyBorder="1" applyAlignment="1">
      <alignment horizontal="right" vertical="center" wrapText="1"/>
    </xf>
    <xf numFmtId="0" fontId="82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3" xfId="0" applyFont="1" applyBorder="1" applyAlignment="1">
      <alignment vertical="center" wrapText="1"/>
    </xf>
    <xf numFmtId="0" fontId="0" fillId="0" borderId="3" xfId="0" applyBorder="1" applyAlignment="1">
      <alignment wrapText="1"/>
    </xf>
    <xf numFmtId="0" fontId="5" fillId="0" borderId="3" xfId="0" applyFont="1" applyBorder="1" applyAlignment="1">
      <alignment horizontal="left" vertical="center" wrapText="1"/>
    </xf>
    <xf numFmtId="0" fontId="58" fillId="0" borderId="5" xfId="0" applyFont="1" applyBorder="1" applyAlignment="1">
      <alignment horizontal="center" vertical="center" wrapText="1"/>
    </xf>
    <xf numFmtId="0" fontId="58" fillId="0" borderId="4" xfId="0" applyFont="1" applyBorder="1" applyAlignment="1">
      <alignment horizontal="center" vertical="center" wrapText="1"/>
    </xf>
    <xf numFmtId="0" fontId="58" fillId="0" borderId="2" xfId="0" applyFont="1" applyBorder="1" applyAlignment="1">
      <alignment horizontal="center" vertical="center" wrapText="1"/>
    </xf>
    <xf numFmtId="166" fontId="78" fillId="0" borderId="18" xfId="0" applyNumberFormat="1" applyFont="1" applyBorder="1" applyAlignment="1">
      <alignment horizontal="center" vertical="center" wrapText="1"/>
    </xf>
    <xf numFmtId="0" fontId="19" fillId="0" borderId="13" xfId="0" applyFont="1" applyBorder="1" applyAlignment="1">
      <alignment vertical="center" textRotation="90"/>
    </xf>
    <xf numFmtId="0" fontId="19" fillId="0" borderId="37" xfId="0" applyFont="1" applyBorder="1" applyAlignment="1">
      <alignment vertical="center" textRotation="90"/>
    </xf>
    <xf numFmtId="166" fontId="11" fillId="0" borderId="44" xfId="0" applyNumberFormat="1" applyFont="1" applyFill="1" applyBorder="1" applyAlignment="1">
      <alignment horizontal="center" vertical="center" wrapText="1"/>
    </xf>
    <xf numFmtId="166" fontId="9" fillId="7" borderId="50" xfId="0" applyNumberFormat="1" applyFont="1" applyFill="1" applyBorder="1" applyAlignment="1">
      <alignment horizontal="center" vertical="center" wrapText="1"/>
    </xf>
    <xf numFmtId="166" fontId="9" fillId="7" borderId="20" xfId="0" applyNumberFormat="1" applyFont="1" applyFill="1" applyBorder="1" applyAlignment="1">
      <alignment horizontal="center" vertical="center" wrapText="1"/>
    </xf>
    <xf numFmtId="166" fontId="9" fillId="7" borderId="75" xfId="0" applyNumberFormat="1" applyFont="1" applyFill="1" applyBorder="1" applyAlignment="1">
      <alignment horizontal="center" vertical="center" wrapText="1"/>
    </xf>
    <xf numFmtId="166" fontId="9" fillId="7" borderId="21" xfId="0" applyNumberFormat="1" applyFont="1" applyFill="1" applyBorder="1" applyAlignment="1">
      <alignment horizontal="center" vertical="center" wrapText="1"/>
    </xf>
    <xf numFmtId="166" fontId="9" fillId="7" borderId="63" xfId="0" applyNumberFormat="1" applyFont="1" applyFill="1" applyBorder="1" applyAlignment="1">
      <alignment horizontal="center" vertical="center" wrapText="1"/>
    </xf>
    <xf numFmtId="166" fontId="9" fillId="7" borderId="0" xfId="0" applyNumberFormat="1" applyFont="1" applyFill="1" applyBorder="1" applyAlignment="1">
      <alignment horizontal="center" vertical="center" wrapText="1"/>
    </xf>
    <xf numFmtId="166" fontId="9" fillId="7" borderId="60" xfId="0" applyNumberFormat="1" applyFont="1" applyFill="1" applyBorder="1" applyAlignment="1">
      <alignment horizontal="center" vertical="center" wrapText="1"/>
    </xf>
    <xf numFmtId="166" fontId="9" fillId="7" borderId="64" xfId="0" applyNumberFormat="1" applyFont="1" applyFill="1" applyBorder="1" applyAlignment="1">
      <alignment horizontal="center" vertical="center" wrapText="1"/>
    </xf>
    <xf numFmtId="166" fontId="9" fillId="7" borderId="58" xfId="0" applyNumberFormat="1" applyFont="1" applyFill="1" applyBorder="1" applyAlignment="1">
      <alignment horizontal="center" vertical="center" wrapText="1"/>
    </xf>
    <xf numFmtId="166" fontId="9" fillId="7" borderId="59" xfId="0" applyNumberFormat="1" applyFont="1" applyFill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 textRotation="90"/>
    </xf>
    <xf numFmtId="0" fontId="19" fillId="0" borderId="70" xfId="0" applyFont="1" applyBorder="1" applyAlignment="1">
      <alignment horizontal="center" vertical="center" textRotation="90"/>
    </xf>
    <xf numFmtId="0" fontId="19" fillId="0" borderId="72" xfId="0" applyFont="1" applyBorder="1" applyAlignment="1">
      <alignment horizontal="center" vertical="center"/>
    </xf>
    <xf numFmtId="0" fontId="33" fillId="0" borderId="15" xfId="0" applyFont="1" applyBorder="1" applyAlignment="1">
      <alignment horizontal="center" vertical="center" wrapText="1"/>
    </xf>
    <xf numFmtId="0" fontId="33" fillId="0" borderId="70" xfId="0" applyFont="1" applyBorder="1" applyAlignment="1">
      <alignment horizontal="center" vertical="center" wrapText="1"/>
    </xf>
    <xf numFmtId="0" fontId="44" fillId="7" borderId="75" xfId="0" applyFont="1" applyFill="1" applyBorder="1" applyAlignment="1">
      <alignment horizontal="center" vertical="center"/>
    </xf>
    <xf numFmtId="0" fontId="44" fillId="7" borderId="87" xfId="0" applyFont="1" applyFill="1" applyBorder="1" applyAlignment="1">
      <alignment horizontal="center" vertical="center"/>
    </xf>
    <xf numFmtId="0" fontId="23" fillId="7" borderId="75" xfId="0" applyFont="1" applyFill="1" applyBorder="1" applyAlignment="1">
      <alignment horizontal="center" vertical="center"/>
    </xf>
    <xf numFmtId="0" fontId="23" fillId="7" borderId="87" xfId="0" applyFont="1" applyFill="1" applyBorder="1" applyAlignment="1">
      <alignment horizontal="center" vertical="center"/>
    </xf>
    <xf numFmtId="166" fontId="12" fillId="7" borderId="46" xfId="0" applyNumberFormat="1" applyFont="1" applyFill="1" applyBorder="1" applyAlignment="1">
      <alignment horizontal="center" vertical="center" wrapText="1"/>
    </xf>
    <xf numFmtId="166" fontId="12" fillId="7" borderId="77" xfId="0" applyNumberFormat="1" applyFont="1" applyFill="1" applyBorder="1" applyAlignment="1">
      <alignment horizontal="center" vertical="center" wrapText="1"/>
    </xf>
    <xf numFmtId="166" fontId="17" fillId="8" borderId="17" xfId="0" applyNumberFormat="1" applyFont="1" applyFill="1" applyBorder="1" applyAlignment="1">
      <alignment horizontal="center" vertical="center" wrapText="1"/>
    </xf>
    <xf numFmtId="166" fontId="17" fillId="8" borderId="44" xfId="0" applyNumberFormat="1" applyFont="1" applyFill="1" applyBorder="1" applyAlignment="1">
      <alignment horizontal="center" vertical="center" wrapText="1"/>
    </xf>
    <xf numFmtId="166" fontId="17" fillId="8" borderId="18" xfId="0" applyNumberFormat="1" applyFont="1" applyFill="1" applyBorder="1" applyAlignment="1">
      <alignment horizontal="center" vertical="center" wrapText="1"/>
    </xf>
    <xf numFmtId="0" fontId="19" fillId="0" borderId="72" xfId="0" applyFont="1" applyBorder="1" applyAlignment="1">
      <alignment vertical="center" textRotation="90"/>
    </xf>
    <xf numFmtId="0" fontId="7" fillId="0" borderId="73" xfId="0" applyFont="1" applyFill="1" applyBorder="1" applyAlignment="1">
      <alignment horizontal="center" vertical="center" textRotation="90"/>
    </xf>
    <xf numFmtId="0" fontId="19" fillId="0" borderId="9" xfId="0" applyFont="1" applyBorder="1" applyAlignment="1">
      <alignment horizontal="center" vertical="center" wrapText="1"/>
    </xf>
    <xf numFmtId="0" fontId="58" fillId="0" borderId="4" xfId="0" applyFont="1" applyBorder="1" applyAlignment="1">
      <alignment horizontal="right" vertical="center" indent="1"/>
    </xf>
    <xf numFmtId="0" fontId="58" fillId="0" borderId="3" xfId="0" applyFont="1" applyBorder="1" applyAlignment="1">
      <alignment horizontal="right" vertical="center" indent="1"/>
    </xf>
    <xf numFmtId="0" fontId="39" fillId="0" borderId="0" xfId="0" applyFont="1" applyAlignment="1">
      <alignment horizontal="right" vertical="center" wrapText="1"/>
    </xf>
    <xf numFmtId="0" fontId="39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/>
    </xf>
    <xf numFmtId="0" fontId="19" fillId="0" borderId="7" xfId="0" applyFont="1" applyBorder="1" applyAlignment="1">
      <alignment horizontal="center" vertical="center" wrapText="1"/>
    </xf>
    <xf numFmtId="0" fontId="33" fillId="0" borderId="63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/>
    </xf>
    <xf numFmtId="0" fontId="19" fillId="0" borderId="67" xfId="0" applyFont="1" applyBorder="1" applyAlignment="1">
      <alignment horizontal="center" vertical="center"/>
    </xf>
    <xf numFmtId="0" fontId="19" fillId="0" borderId="65" xfId="0" applyFont="1" applyBorder="1" applyAlignment="1">
      <alignment horizontal="center" vertical="center"/>
    </xf>
    <xf numFmtId="166" fontId="78" fillId="0" borderId="50" xfId="0" applyNumberFormat="1" applyFont="1" applyBorder="1" applyAlignment="1">
      <alignment horizontal="center" vertical="center" wrapText="1"/>
    </xf>
    <xf numFmtId="166" fontId="78" fillId="0" borderId="75" xfId="0" applyNumberFormat="1" applyFont="1" applyBorder="1" applyAlignment="1">
      <alignment horizontal="center" vertical="center" wrapText="1"/>
    </xf>
    <xf numFmtId="166" fontId="78" fillId="0" borderId="87" xfId="0" applyNumberFormat="1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21" fillId="0" borderId="0" xfId="0" applyFont="1" applyAlignment="1">
      <alignment horizontal="center"/>
    </xf>
    <xf numFmtId="166" fontId="54" fillId="0" borderId="0" xfId="0" applyNumberFormat="1" applyFont="1" applyAlignment="1">
      <alignment horizontal="center" vertical="center" wrapText="1"/>
    </xf>
    <xf numFmtId="0" fontId="14" fillId="0" borderId="5" xfId="0" applyFont="1" applyBorder="1" applyAlignment="1">
      <alignment horizontal="center"/>
    </xf>
    <xf numFmtId="0" fontId="37" fillId="0" borderId="1" xfId="0" applyFont="1" applyBorder="1" applyAlignment="1">
      <alignment horizontal="center"/>
    </xf>
    <xf numFmtId="0" fontId="37" fillId="0" borderId="5" xfId="0" applyFont="1" applyBorder="1" applyAlignment="1">
      <alignment vertical="top"/>
    </xf>
    <xf numFmtId="0" fontId="14" fillId="0" borderId="5" xfId="0" applyFont="1" applyBorder="1" applyAlignment="1">
      <alignment horizontal="center" vertical="top"/>
    </xf>
    <xf numFmtId="0" fontId="37" fillId="0" borderId="5" xfId="0" applyFont="1" applyBorder="1" applyAlignment="1">
      <alignment horizontal="center" vertical="top"/>
    </xf>
    <xf numFmtId="0" fontId="37" fillId="0" borderId="5" xfId="0" applyFont="1" applyBorder="1" applyAlignment="1"/>
    <xf numFmtId="2" fontId="54" fillId="0" borderId="17" xfId="0" applyNumberFormat="1" applyFont="1" applyBorder="1" applyAlignment="1">
      <alignment horizontal="center" vertical="top" wrapText="1"/>
    </xf>
    <xf numFmtId="2" fontId="54" fillId="0" borderId="44" xfId="0" applyNumberFormat="1" applyFont="1" applyBorder="1" applyAlignment="1">
      <alignment horizontal="center" vertical="top" wrapText="1"/>
    </xf>
    <xf numFmtId="2" fontId="54" fillId="0" borderId="18" xfId="0" applyNumberFormat="1" applyFont="1" applyBorder="1" applyAlignment="1">
      <alignment horizontal="center" vertical="top" wrapText="1"/>
    </xf>
    <xf numFmtId="2" fontId="51" fillId="0" borderId="58" xfId="0" applyNumberFormat="1" applyFont="1" applyBorder="1" applyAlignment="1">
      <alignment horizontal="center"/>
    </xf>
    <xf numFmtId="2" fontId="52" fillId="0" borderId="35" xfId="0" applyNumberFormat="1" applyFont="1" applyBorder="1" applyAlignment="1">
      <alignment horizontal="center" vertical="center" wrapText="1"/>
    </xf>
    <xf numFmtId="2" fontId="52" fillId="0" borderId="36" xfId="0" applyNumberFormat="1" applyFont="1" applyBorder="1" applyAlignment="1">
      <alignment horizontal="center" vertical="center" wrapText="1"/>
    </xf>
    <xf numFmtId="2" fontId="22" fillId="0" borderId="17" xfId="0" applyNumberFormat="1" applyFont="1" applyBorder="1" applyAlignment="1">
      <alignment horizontal="center" vertical="top" wrapText="1"/>
    </xf>
    <xf numFmtId="2" fontId="22" fillId="0" borderId="18" xfId="0" applyNumberFormat="1" applyFont="1" applyBorder="1" applyAlignment="1">
      <alignment horizontal="center" vertical="top" wrapText="1"/>
    </xf>
    <xf numFmtId="2" fontId="55" fillId="0" borderId="35" xfId="0" applyNumberFormat="1" applyFont="1" applyBorder="1" applyAlignment="1">
      <alignment horizontal="center" vertical="top" wrapText="1"/>
    </xf>
    <xf numFmtId="2" fontId="55" fillId="0" borderId="61" xfId="0" applyNumberFormat="1" applyFont="1" applyBorder="1" applyAlignment="1">
      <alignment horizontal="center" vertical="top" wrapText="1"/>
    </xf>
    <xf numFmtId="2" fontId="55" fillId="0" borderId="36" xfId="0" applyNumberFormat="1" applyFont="1" applyBorder="1" applyAlignment="1">
      <alignment horizontal="center" vertical="top" wrapText="1"/>
    </xf>
    <xf numFmtId="2" fontId="22" fillId="0" borderId="50" xfId="0" applyNumberFormat="1" applyFont="1" applyBorder="1" applyAlignment="1">
      <alignment horizontal="center" vertical="top" wrapText="1"/>
    </xf>
    <xf numFmtId="2" fontId="22" fillId="0" borderId="87" xfId="0" applyNumberFormat="1" applyFont="1" applyBorder="1" applyAlignment="1">
      <alignment horizontal="center" vertical="top" wrapText="1"/>
    </xf>
    <xf numFmtId="0" fontId="103" fillId="0" borderId="4" xfId="1" applyFont="1" applyBorder="1" applyAlignment="1">
      <alignment horizontal="center" vertical="center"/>
    </xf>
    <xf numFmtId="0" fontId="103" fillId="0" borderId="2" xfId="1" applyFont="1" applyBorder="1" applyAlignment="1">
      <alignment horizontal="center" vertical="center"/>
    </xf>
    <xf numFmtId="0" fontId="76" fillId="0" borderId="78" xfId="0" applyFont="1" applyBorder="1" applyAlignment="1">
      <alignment horizontal="center"/>
    </xf>
    <xf numFmtId="0" fontId="76" fillId="0" borderId="79" xfId="0" applyFont="1" applyBorder="1" applyAlignment="1">
      <alignment horizontal="center"/>
    </xf>
    <xf numFmtId="0" fontId="76" fillId="0" borderId="80" xfId="0" applyFont="1" applyBorder="1" applyAlignment="1">
      <alignment horizontal="center"/>
    </xf>
    <xf numFmtId="0" fontId="128" fillId="0" borderId="0" xfId="4" applyFont="1" applyAlignment="1">
      <alignment horizontal="left" vertical="center" wrapText="1"/>
    </xf>
    <xf numFmtId="49" fontId="126" fillId="0" borderId="0" xfId="4" applyNumberFormat="1" applyFont="1" applyAlignment="1">
      <alignment horizontal="left" vertical="center" wrapText="1"/>
    </xf>
    <xf numFmtId="0" fontId="128" fillId="0" borderId="0" xfId="4" applyFont="1" applyAlignment="1">
      <alignment horizontal="left" vertical="center"/>
    </xf>
    <xf numFmtId="0" fontId="130" fillId="0" borderId="0" xfId="4" applyFont="1" applyBorder="1" applyAlignment="1">
      <alignment horizontal="left"/>
    </xf>
    <xf numFmtId="0" fontId="139" fillId="0" borderId="0" xfId="4" applyFont="1" applyBorder="1" applyAlignment="1">
      <alignment horizontal="left"/>
    </xf>
    <xf numFmtId="49" fontId="126" fillId="0" borderId="0" xfId="4" applyNumberFormat="1" applyFont="1" applyBorder="1" applyAlignment="1">
      <alignment horizontal="left" vertical="center" wrapText="1"/>
    </xf>
    <xf numFmtId="0" fontId="126" fillId="0" borderId="0" xfId="4" applyFont="1" applyBorder="1" applyAlignment="1">
      <alignment horizontal="left" vertical="center"/>
    </xf>
    <xf numFmtId="0" fontId="128" fillId="0" borderId="0" xfId="4" applyFont="1" applyBorder="1" applyAlignment="1">
      <alignment horizontal="left" vertical="center"/>
    </xf>
    <xf numFmtId="0" fontId="126" fillId="0" borderId="0" xfId="4" applyFont="1" applyAlignment="1">
      <alignment horizontal="left" vertical="center" wrapText="1"/>
    </xf>
    <xf numFmtId="0" fontId="135" fillId="0" borderId="65" xfId="4" applyFont="1" applyBorder="1" applyAlignment="1">
      <alignment vertical="center" wrapText="1"/>
    </xf>
    <xf numFmtId="0" fontId="135" fillId="0" borderId="0" xfId="4" applyFont="1" applyBorder="1" applyAlignment="1">
      <alignment vertical="center"/>
    </xf>
    <xf numFmtId="0" fontId="135" fillId="0" borderId="60" xfId="4" applyFont="1" applyBorder="1" applyAlignment="1">
      <alignment vertical="center"/>
    </xf>
    <xf numFmtId="0" fontId="135" fillId="0" borderId="65" xfId="4" applyFont="1" applyBorder="1" applyAlignment="1">
      <alignment horizontal="left" vertical="center" wrapText="1"/>
    </xf>
    <xf numFmtId="0" fontId="135" fillId="0" borderId="0" xfId="4" applyFont="1" applyBorder="1" applyAlignment="1">
      <alignment horizontal="left" vertical="center"/>
    </xf>
    <xf numFmtId="0" fontId="135" fillId="0" borderId="60" xfId="4" applyFont="1" applyBorder="1" applyAlignment="1">
      <alignment horizontal="left" vertical="center"/>
    </xf>
    <xf numFmtId="0" fontId="135" fillId="0" borderId="95" xfId="4" applyFont="1" applyBorder="1" applyAlignment="1">
      <alignment horizontal="left" vertical="center" wrapText="1"/>
    </xf>
    <xf numFmtId="0" fontId="135" fillId="0" borderId="96" xfId="4" applyFont="1" applyBorder="1" applyAlignment="1">
      <alignment horizontal="left" vertical="center"/>
    </xf>
    <xf numFmtId="0" fontId="135" fillId="0" borderId="97" xfId="4" applyFont="1" applyBorder="1" applyAlignment="1">
      <alignment horizontal="left" vertical="center"/>
    </xf>
    <xf numFmtId="0" fontId="139" fillId="0" borderId="52" xfId="4" applyFont="1" applyBorder="1" applyAlignment="1">
      <alignment horizontal="center" vertical="center"/>
    </xf>
    <xf numFmtId="0" fontId="139" fillId="0" borderId="2" xfId="4" applyFont="1" applyBorder="1" applyAlignment="1">
      <alignment horizontal="center" vertical="center"/>
    </xf>
    <xf numFmtId="0" fontId="139" fillId="0" borderId="55" xfId="4" applyFont="1" applyBorder="1" applyAlignment="1">
      <alignment horizontal="center" vertical="center"/>
    </xf>
    <xf numFmtId="0" fontId="139" fillId="0" borderId="34" xfId="4" applyFont="1" applyBorder="1" applyAlignment="1">
      <alignment horizontal="center" vertical="center"/>
    </xf>
    <xf numFmtId="0" fontId="135" fillId="0" borderId="7" xfId="4" applyFont="1" applyBorder="1" applyAlignment="1">
      <alignment horizontal="left" vertical="center" wrapText="1"/>
    </xf>
    <xf numFmtId="0" fontId="135" fillId="0" borderId="6" xfId="4" applyFont="1" applyBorder="1" applyAlignment="1">
      <alignment horizontal="left" vertical="center"/>
    </xf>
    <xf numFmtId="0" fontId="135" fillId="0" borderId="98" xfId="4" applyFont="1" applyBorder="1" applyAlignment="1">
      <alignment horizontal="left" vertical="center"/>
    </xf>
    <xf numFmtId="0" fontId="135" fillId="0" borderId="99" xfId="4" applyFont="1" applyBorder="1" applyAlignment="1">
      <alignment horizontal="left" vertical="center" wrapText="1"/>
    </xf>
    <xf numFmtId="0" fontId="135" fillId="0" borderId="58" xfId="4" applyFont="1" applyBorder="1" applyAlignment="1">
      <alignment horizontal="left" vertical="center"/>
    </xf>
    <xf numFmtId="0" fontId="135" fillId="0" borderId="59" xfId="4" applyFont="1" applyBorder="1" applyAlignment="1">
      <alignment horizontal="left" vertical="center"/>
    </xf>
    <xf numFmtId="0" fontId="135" fillId="0" borderId="65" xfId="4" applyFont="1" applyBorder="1" applyAlignment="1">
      <alignment horizontal="left" vertical="top" wrapText="1"/>
    </xf>
    <xf numFmtId="0" fontId="135" fillId="0" borderId="0" xfId="4" applyFont="1" applyBorder="1" applyAlignment="1"/>
    <xf numFmtId="0" fontId="135" fillId="0" borderId="60" xfId="4" applyFont="1" applyBorder="1" applyAlignment="1"/>
    <xf numFmtId="0" fontId="135" fillId="0" borderId="95" xfId="4" applyFont="1" applyBorder="1" applyAlignment="1">
      <alignment horizontal="left" vertical="top" wrapText="1"/>
    </xf>
    <xf numFmtId="0" fontId="135" fillId="0" borderId="96" xfId="4" applyFont="1" applyBorder="1" applyAlignment="1"/>
    <xf numFmtId="0" fontId="135" fillId="0" borderId="97" xfId="4" applyFont="1" applyBorder="1" applyAlignment="1"/>
    <xf numFmtId="0" fontId="135" fillId="0" borderId="7" xfId="4" applyFont="1" applyBorder="1" applyAlignment="1">
      <alignment horizontal="left" vertical="top" wrapText="1"/>
    </xf>
    <xf numFmtId="0" fontId="135" fillId="0" borderId="6" xfId="4" applyFont="1" applyBorder="1" applyAlignment="1"/>
    <xf numFmtId="0" fontId="135" fillId="0" borderId="98" xfId="4" applyFont="1" applyBorder="1" applyAlignment="1"/>
    <xf numFmtId="49" fontId="134" fillId="0" borderId="65" xfId="4" applyNumberFormat="1" applyFont="1" applyBorder="1" applyAlignment="1" applyProtection="1">
      <alignment horizontal="left" vertical="center" wrapText="1"/>
      <protection locked="0"/>
    </xf>
    <xf numFmtId="0" fontId="119" fillId="0" borderId="13" xfId="4" applyFont="1" applyBorder="1" applyAlignment="1">
      <alignment horizontal="center" vertical="center" wrapText="1"/>
    </xf>
    <xf numFmtId="0" fontId="119" fillId="0" borderId="37" xfId="4" applyFont="1" applyBorder="1" applyAlignment="1">
      <alignment horizontal="center" vertical="center" wrapText="1"/>
    </xf>
    <xf numFmtId="0" fontId="119" fillId="0" borderId="15" xfId="4" applyFont="1" applyBorder="1" applyAlignment="1">
      <alignment horizontal="center" vertical="center" wrapText="1"/>
    </xf>
    <xf numFmtId="0" fontId="119" fillId="0" borderId="38" xfId="4" applyFont="1" applyBorder="1" applyAlignment="1">
      <alignment horizontal="center" vertical="center" wrapText="1"/>
    </xf>
    <xf numFmtId="0" fontId="139" fillId="0" borderId="50" xfId="4" applyFont="1" applyBorder="1" applyAlignment="1">
      <alignment horizontal="center" vertical="center"/>
    </xf>
    <xf numFmtId="0" fontId="139" fillId="0" borderId="71" xfId="4" applyFont="1" applyBorder="1" applyAlignment="1">
      <alignment vertical="center"/>
    </xf>
    <xf numFmtId="0" fontId="139" fillId="0" borderId="63" xfId="4" applyFont="1" applyBorder="1" applyAlignment="1">
      <alignment vertical="center"/>
    </xf>
    <xf numFmtId="0" fontId="139" fillId="0" borderId="66" xfId="4" applyFont="1" applyBorder="1" applyAlignment="1">
      <alignment vertical="center"/>
    </xf>
    <xf numFmtId="0" fontId="139" fillId="0" borderId="93" xfId="4" applyFont="1" applyBorder="1" applyAlignment="1">
      <alignment vertical="center"/>
    </xf>
    <xf numFmtId="0" fontId="139" fillId="0" borderId="94" xfId="4" applyFont="1" applyBorder="1" applyAlignment="1">
      <alignment vertical="center"/>
    </xf>
    <xf numFmtId="49" fontId="134" fillId="0" borderId="67" xfId="4" applyNumberFormat="1" applyFont="1" applyBorder="1" applyAlignment="1" applyProtection="1">
      <alignment vertical="center" wrapText="1"/>
      <protection locked="0"/>
    </xf>
    <xf numFmtId="0" fontId="135" fillId="0" borderId="75" xfId="4" applyFont="1" applyBorder="1" applyAlignment="1">
      <alignment vertical="center"/>
    </xf>
    <xf numFmtId="0" fontId="135" fillId="0" borderId="87" xfId="4" applyFont="1" applyBorder="1" applyAlignment="1">
      <alignment vertical="center"/>
    </xf>
    <xf numFmtId="0" fontId="135" fillId="0" borderId="0" xfId="4" applyFont="1" applyBorder="1" applyAlignment="1">
      <alignment vertical="center" wrapText="1"/>
    </xf>
    <xf numFmtId="0" fontId="135" fillId="0" borderId="60" xfId="4" applyFont="1" applyBorder="1" applyAlignment="1">
      <alignment vertical="center" wrapText="1"/>
    </xf>
    <xf numFmtId="0" fontId="134" fillId="0" borderId="65" xfId="4" applyFont="1" applyBorder="1" applyAlignment="1">
      <alignment vertical="center" wrapText="1"/>
    </xf>
    <xf numFmtId="0" fontId="133" fillId="0" borderId="15" xfId="4" applyFont="1" applyBorder="1" applyAlignment="1">
      <alignment horizontal="center" vertical="center" wrapText="1"/>
    </xf>
    <xf numFmtId="0" fontId="139" fillId="0" borderId="38" xfId="4" applyFont="1" applyBorder="1" applyAlignment="1">
      <alignment horizontal="center" vertical="center" wrapText="1"/>
    </xf>
    <xf numFmtId="0" fontId="130" fillId="0" borderId="25" xfId="4" applyFont="1" applyBorder="1" applyAlignment="1">
      <alignment horizontal="center" vertical="center" wrapText="1"/>
    </xf>
    <xf numFmtId="0" fontId="130" fillId="0" borderId="23" xfId="4" applyFont="1" applyBorder="1" applyAlignment="1">
      <alignment horizontal="center" vertical="center" wrapText="1"/>
    </xf>
    <xf numFmtId="171" fontId="132" fillId="0" borderId="70" xfId="4" applyNumberFormat="1" applyFont="1" applyBorder="1" applyAlignment="1">
      <alignment horizontal="center" vertical="center" wrapText="1"/>
    </xf>
    <xf numFmtId="171" fontId="132" fillId="0" borderId="72" xfId="4" applyNumberFormat="1" applyFont="1" applyBorder="1" applyAlignment="1">
      <alignment horizontal="center" vertical="center" wrapText="1"/>
    </xf>
    <xf numFmtId="0" fontId="126" fillId="0" borderId="0" xfId="4" applyFont="1" applyBorder="1" applyAlignment="1">
      <alignment horizontal="left"/>
    </xf>
    <xf numFmtId="0" fontId="126" fillId="0" borderId="0" xfId="4" applyFont="1" applyBorder="1" applyAlignment="1">
      <alignment horizontal="left" vertical="center" wrapText="1"/>
    </xf>
    <xf numFmtId="0" fontId="128" fillId="0" borderId="0" xfId="4" applyFont="1" applyAlignment="1">
      <alignment horizontal="left"/>
    </xf>
    <xf numFmtId="0" fontId="126" fillId="0" borderId="0" xfId="4" applyFont="1" applyBorder="1" applyAlignment="1">
      <alignment horizontal="left" wrapText="1"/>
    </xf>
    <xf numFmtId="0" fontId="119" fillId="0" borderId="22" xfId="4" applyFont="1" applyBorder="1" applyAlignment="1">
      <alignment horizontal="center" vertical="center" wrapText="1"/>
    </xf>
    <xf numFmtId="0" fontId="130" fillId="0" borderId="15" xfId="4" applyFont="1" applyBorder="1" applyAlignment="1">
      <alignment horizontal="center" vertical="center" wrapText="1"/>
    </xf>
    <xf numFmtId="0" fontId="139" fillId="0" borderId="70" xfId="4" applyFont="1" applyBorder="1" applyAlignment="1">
      <alignment horizontal="center" vertical="center" wrapText="1"/>
    </xf>
    <xf numFmtId="0" fontId="139" fillId="0" borderId="25" xfId="4" applyFont="1" applyBorder="1" applyAlignment="1">
      <alignment horizontal="center" vertical="center" wrapText="1"/>
    </xf>
    <xf numFmtId="0" fontId="126" fillId="0" borderId="0" xfId="4" applyFont="1" applyBorder="1" applyAlignment="1">
      <alignment horizontal="left" vertical="top" wrapText="1"/>
    </xf>
    <xf numFmtId="0" fontId="128" fillId="0" borderId="0" xfId="4" applyFont="1" applyAlignment="1">
      <alignment horizontal="left" vertical="top"/>
    </xf>
    <xf numFmtId="0" fontId="131" fillId="0" borderId="0" xfId="4" applyFont="1" applyBorder="1" applyAlignment="1">
      <alignment horizontal="left" wrapText="1"/>
    </xf>
    <xf numFmtId="0" fontId="130" fillId="0" borderId="68" xfId="4" applyFont="1" applyBorder="1" applyAlignment="1">
      <alignment horizontal="center" vertical="center"/>
    </xf>
    <xf numFmtId="0" fontId="130" fillId="0" borderId="44" xfId="4" applyFont="1" applyBorder="1" applyAlignment="1">
      <alignment horizontal="center" vertical="center"/>
    </xf>
    <xf numFmtId="0" fontId="130" fillId="0" borderId="18" xfId="4" applyFont="1" applyBorder="1" applyAlignment="1">
      <alignment horizontal="center" vertical="center"/>
    </xf>
    <xf numFmtId="0" fontId="128" fillId="0" borderId="0" xfId="0" applyFont="1" applyAlignment="1">
      <alignment horizontal="left" vertical="center" wrapText="1"/>
    </xf>
    <xf numFmtId="0" fontId="13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49" fontId="126" fillId="0" borderId="0" xfId="0" applyNumberFormat="1" applyFont="1" applyAlignment="1">
      <alignment horizontal="left" vertical="center" wrapText="1"/>
    </xf>
    <xf numFmtId="0" fontId="126" fillId="0" borderId="0" xfId="0" applyFont="1" applyAlignment="1">
      <alignment horizontal="left" vertical="center" wrapText="1"/>
    </xf>
    <xf numFmtId="0" fontId="128" fillId="0" borderId="0" xfId="0" applyFont="1" applyAlignment="1">
      <alignment horizontal="left" vertical="center"/>
    </xf>
    <xf numFmtId="0" fontId="0" fillId="0" borderId="5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135" fillId="0" borderId="65" xfId="0" applyFont="1" applyBorder="1" applyAlignment="1">
      <alignment vertical="center" wrapText="1"/>
    </xf>
    <xf numFmtId="0" fontId="135" fillId="0" borderId="0" xfId="0" applyFont="1" applyBorder="1" applyAlignment="1">
      <alignment vertical="center"/>
    </xf>
    <xf numFmtId="0" fontId="135" fillId="0" borderId="60" xfId="0" applyFont="1" applyBorder="1" applyAlignment="1">
      <alignment vertical="center"/>
    </xf>
    <xf numFmtId="0" fontId="135" fillId="0" borderId="65" xfId="0" applyFont="1" applyBorder="1" applyAlignment="1">
      <alignment horizontal="left" vertical="center" wrapText="1"/>
    </xf>
    <xf numFmtId="0" fontId="135" fillId="0" borderId="0" xfId="0" applyFont="1" applyBorder="1" applyAlignment="1">
      <alignment horizontal="left" vertical="center"/>
    </xf>
    <xf numFmtId="0" fontId="135" fillId="0" borderId="60" xfId="0" applyFont="1" applyBorder="1" applyAlignment="1">
      <alignment horizontal="left" vertical="center"/>
    </xf>
    <xf numFmtId="0" fontId="135" fillId="0" borderId="95" xfId="0" applyFont="1" applyBorder="1" applyAlignment="1">
      <alignment horizontal="left" vertical="center" wrapText="1"/>
    </xf>
    <xf numFmtId="0" fontId="135" fillId="0" borderId="96" xfId="0" applyFont="1" applyBorder="1" applyAlignment="1">
      <alignment horizontal="left" vertical="center"/>
    </xf>
    <xf numFmtId="0" fontId="135" fillId="0" borderId="97" xfId="0" applyFont="1" applyBorder="1" applyAlignment="1">
      <alignment horizontal="left" vertical="center"/>
    </xf>
    <xf numFmtId="0" fontId="0" fillId="0" borderId="55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135" fillId="0" borderId="7" xfId="0" applyFont="1" applyBorder="1" applyAlignment="1">
      <alignment horizontal="left" vertical="center" wrapText="1"/>
    </xf>
    <xf numFmtId="0" fontId="135" fillId="0" borderId="6" xfId="0" applyFont="1" applyBorder="1" applyAlignment="1">
      <alignment horizontal="left" vertical="center"/>
    </xf>
    <xf numFmtId="0" fontId="135" fillId="0" borderId="98" xfId="0" applyFont="1" applyBorder="1" applyAlignment="1">
      <alignment horizontal="left" vertical="center"/>
    </xf>
    <xf numFmtId="0" fontId="135" fillId="0" borderId="99" xfId="0" applyFont="1" applyBorder="1" applyAlignment="1">
      <alignment horizontal="left" vertical="center" wrapText="1"/>
    </xf>
    <xf numFmtId="0" fontId="135" fillId="0" borderId="58" xfId="0" applyFont="1" applyBorder="1" applyAlignment="1">
      <alignment horizontal="left" vertical="center"/>
    </xf>
    <xf numFmtId="0" fontId="135" fillId="0" borderId="59" xfId="0" applyFont="1" applyBorder="1" applyAlignment="1">
      <alignment horizontal="left" vertical="center"/>
    </xf>
    <xf numFmtId="0" fontId="119" fillId="0" borderId="13" xfId="0" applyFont="1" applyBorder="1" applyAlignment="1">
      <alignment horizontal="center" vertical="center" wrapText="1"/>
    </xf>
    <xf numFmtId="0" fontId="119" fillId="0" borderId="37" xfId="0" applyFont="1" applyBorder="1" applyAlignment="1">
      <alignment horizontal="center" vertical="center" wrapText="1"/>
    </xf>
    <xf numFmtId="0" fontId="119" fillId="0" borderId="15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49" fontId="126" fillId="0" borderId="0" xfId="0" applyNumberFormat="1" applyFont="1" applyBorder="1" applyAlignment="1">
      <alignment horizontal="left" vertical="center" wrapText="1"/>
    </xf>
    <xf numFmtId="0" fontId="126" fillId="0" borderId="0" xfId="0" applyFont="1" applyBorder="1" applyAlignment="1">
      <alignment horizontal="left" vertical="center"/>
    </xf>
    <xf numFmtId="0" fontId="128" fillId="0" borderId="0" xfId="0" applyFont="1" applyBorder="1" applyAlignment="1">
      <alignment horizontal="left" vertical="center"/>
    </xf>
    <xf numFmtId="49" fontId="134" fillId="0" borderId="65" xfId="0" applyNumberFormat="1" applyFont="1" applyBorder="1" applyAlignment="1" applyProtection="1">
      <alignment horizontal="left" vertical="center" wrapText="1"/>
      <protection locked="0"/>
    </xf>
    <xf numFmtId="0" fontId="135" fillId="0" borderId="65" xfId="0" applyFont="1" applyBorder="1" applyAlignment="1">
      <alignment horizontal="left" vertical="top" wrapText="1"/>
    </xf>
    <xf numFmtId="0" fontId="135" fillId="0" borderId="0" xfId="0" applyFont="1" applyBorder="1" applyAlignment="1"/>
    <xf numFmtId="0" fontId="135" fillId="0" borderId="60" xfId="0" applyFont="1" applyBorder="1" applyAlignment="1"/>
    <xf numFmtId="0" fontId="135" fillId="0" borderId="0" xfId="0" applyFont="1" applyBorder="1" applyAlignment="1">
      <alignment vertical="center" wrapText="1"/>
    </xf>
    <xf numFmtId="0" fontId="135" fillId="0" borderId="60" xfId="0" applyFont="1" applyBorder="1" applyAlignment="1">
      <alignment vertical="center" wrapText="1"/>
    </xf>
    <xf numFmtId="0" fontId="134" fillId="0" borderId="65" xfId="0" applyFont="1" applyBorder="1" applyAlignment="1">
      <alignment vertical="center" wrapText="1"/>
    </xf>
    <xf numFmtId="0" fontId="135" fillId="0" borderId="95" xfId="0" applyFont="1" applyBorder="1" applyAlignment="1">
      <alignment horizontal="left" vertical="top" wrapText="1"/>
    </xf>
    <xf numFmtId="0" fontId="135" fillId="0" borderId="96" xfId="0" applyFont="1" applyBorder="1" applyAlignment="1"/>
    <xf numFmtId="0" fontId="135" fillId="0" borderId="97" xfId="0" applyFont="1" applyBorder="1" applyAlignment="1"/>
    <xf numFmtId="0" fontId="135" fillId="0" borderId="7" xfId="0" applyFont="1" applyBorder="1" applyAlignment="1">
      <alignment horizontal="left" vertical="top" wrapText="1"/>
    </xf>
    <xf numFmtId="0" fontId="135" fillId="0" borderId="6" xfId="0" applyFont="1" applyBorder="1" applyAlignment="1"/>
    <xf numFmtId="0" fontId="135" fillId="0" borderId="98" xfId="0" applyFont="1" applyBorder="1" applyAlignment="1"/>
    <xf numFmtId="49" fontId="134" fillId="0" borderId="67" xfId="0" applyNumberFormat="1" applyFont="1" applyBorder="1" applyAlignment="1" applyProtection="1">
      <alignment vertical="center" wrapText="1"/>
      <protection locked="0"/>
    </xf>
    <xf numFmtId="0" fontId="135" fillId="0" borderId="75" xfId="0" applyFont="1" applyBorder="1" applyAlignment="1">
      <alignment vertical="center"/>
    </xf>
    <xf numFmtId="0" fontId="135" fillId="0" borderId="87" xfId="0" applyFont="1" applyBorder="1" applyAlignment="1">
      <alignment vertical="center"/>
    </xf>
    <xf numFmtId="0" fontId="130" fillId="0" borderId="25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130" fillId="0" borderId="68" xfId="0" applyFont="1" applyBorder="1" applyAlignment="1">
      <alignment horizontal="center" vertical="center"/>
    </xf>
    <xf numFmtId="0" fontId="130" fillId="0" borderId="44" xfId="0" applyFont="1" applyBorder="1" applyAlignment="1">
      <alignment horizontal="center" vertical="center"/>
    </xf>
    <xf numFmtId="0" fontId="130" fillId="0" borderId="18" xfId="0" applyFont="1" applyBorder="1" applyAlignment="1">
      <alignment horizontal="center" vertical="center"/>
    </xf>
    <xf numFmtId="0" fontId="130" fillId="0" borderId="23" xfId="0" applyFont="1" applyBorder="1" applyAlignment="1">
      <alignment horizontal="center" vertical="center" wrapText="1"/>
    </xf>
    <xf numFmtId="0" fontId="133" fillId="0" borderId="15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/>
    </xf>
    <xf numFmtId="0" fontId="0" fillId="0" borderId="71" xfId="0" applyFont="1" applyBorder="1" applyAlignment="1">
      <alignment vertical="center"/>
    </xf>
    <xf numFmtId="0" fontId="0" fillId="0" borderId="63" xfId="0" applyFont="1" applyBorder="1" applyAlignment="1">
      <alignment vertical="center"/>
    </xf>
    <xf numFmtId="0" fontId="0" fillId="0" borderId="66" xfId="0" applyFont="1" applyBorder="1" applyAlignment="1">
      <alignment vertical="center"/>
    </xf>
    <xf numFmtId="0" fontId="0" fillId="0" borderId="93" xfId="0" applyFont="1" applyBorder="1" applyAlignment="1">
      <alignment vertical="center"/>
    </xf>
    <xf numFmtId="0" fontId="0" fillId="0" borderId="94" xfId="0" applyFont="1" applyBorder="1" applyAlignment="1">
      <alignment vertical="center"/>
    </xf>
    <xf numFmtId="0" fontId="126" fillId="0" borderId="0" xfId="0" applyFont="1" applyBorder="1" applyAlignment="1">
      <alignment horizontal="left"/>
    </xf>
    <xf numFmtId="0" fontId="126" fillId="0" borderId="0" xfId="0" applyFont="1" applyBorder="1" applyAlignment="1">
      <alignment horizontal="left" vertical="center" wrapText="1"/>
    </xf>
    <xf numFmtId="0" fontId="128" fillId="0" borderId="0" xfId="0" applyFont="1" applyAlignment="1">
      <alignment horizontal="left"/>
    </xf>
    <xf numFmtId="0" fontId="126" fillId="0" borderId="0" xfId="0" applyFont="1" applyBorder="1" applyAlignment="1">
      <alignment horizontal="left" wrapText="1"/>
    </xf>
    <xf numFmtId="0" fontId="131" fillId="0" borderId="0" xfId="0" applyFont="1" applyBorder="1" applyAlignment="1">
      <alignment horizontal="left" wrapText="1"/>
    </xf>
    <xf numFmtId="0" fontId="126" fillId="0" borderId="0" xfId="0" applyFont="1" applyBorder="1" applyAlignment="1">
      <alignment horizontal="left" vertical="top" wrapText="1"/>
    </xf>
    <xf numFmtId="0" fontId="128" fillId="0" borderId="0" xfId="0" applyFont="1" applyAlignment="1">
      <alignment horizontal="left" vertical="top"/>
    </xf>
    <xf numFmtId="0" fontId="119" fillId="0" borderId="22" xfId="0" applyFont="1" applyBorder="1" applyAlignment="1">
      <alignment horizontal="center" vertical="center" wrapText="1"/>
    </xf>
    <xf numFmtId="0" fontId="130" fillId="0" borderId="15" xfId="0" applyFont="1" applyBorder="1" applyAlignment="1">
      <alignment horizontal="center" vertical="center" wrapText="1"/>
    </xf>
    <xf numFmtId="0" fontId="0" fillId="0" borderId="70" xfId="0" applyFont="1" applyBorder="1" applyAlignment="1">
      <alignment horizontal="center" vertical="center" wrapText="1"/>
    </xf>
  </cellXfs>
  <cellStyles count="9">
    <cellStyle name="Обычный" xfId="0" builtinId="0"/>
    <cellStyle name="Обычный 2" xfId="1" xr:uid="{00000000-0005-0000-0000-000001000000}"/>
    <cellStyle name="Обычный 2 2" xfId="2" xr:uid="{00000000-0005-0000-0000-000002000000}"/>
    <cellStyle name="Обычный 2 3" xfId="7" xr:uid="{00000000-0005-0000-0000-000003000000}"/>
    <cellStyle name="Обычный 3" xfId="4" xr:uid="{00000000-0005-0000-0000-000004000000}"/>
    <cellStyle name="Обычный 4" xfId="6" xr:uid="{00000000-0005-0000-0000-000005000000}"/>
    <cellStyle name="Обычный 5" xfId="8" xr:uid="{00000000-0005-0000-0000-000006000000}"/>
    <cellStyle name="Финансовый" xfId="3" builtinId="3"/>
    <cellStyle name="Финансовый 2" xfId="5" xr:uid="{00000000-0005-0000-0000-000008000000}"/>
  </cellStyles>
  <dxfs count="388">
    <dxf>
      <font>
        <b/>
        <i/>
        <u/>
      </font>
    </dxf>
    <dxf>
      <font>
        <b/>
        <i/>
        <u/>
      </font>
    </dxf>
    <dxf>
      <font>
        <b/>
        <i/>
        <strike val="0"/>
        <u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9242"/>
      <color rgb="FF00421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 /><Relationship Id="rId13" Type="http://schemas.openxmlformats.org/officeDocument/2006/relationships/worksheet" Target="worksheets/sheet13.xml" /><Relationship Id="rId18" Type="http://schemas.openxmlformats.org/officeDocument/2006/relationships/worksheet" Target="worksheets/sheet18.xml" /><Relationship Id="rId26" Type="http://schemas.openxmlformats.org/officeDocument/2006/relationships/worksheet" Target="worksheets/sheet26.xml" /><Relationship Id="rId3" Type="http://schemas.openxmlformats.org/officeDocument/2006/relationships/worksheet" Target="worksheets/sheet3.xml" /><Relationship Id="rId21" Type="http://schemas.openxmlformats.org/officeDocument/2006/relationships/worksheet" Target="worksheets/sheet21.xml" /><Relationship Id="rId7" Type="http://schemas.openxmlformats.org/officeDocument/2006/relationships/worksheet" Target="worksheets/sheet7.xml" /><Relationship Id="rId12" Type="http://schemas.openxmlformats.org/officeDocument/2006/relationships/worksheet" Target="worksheets/sheet12.xml" /><Relationship Id="rId17" Type="http://schemas.openxmlformats.org/officeDocument/2006/relationships/worksheet" Target="worksheets/sheet17.xml" /><Relationship Id="rId25" Type="http://schemas.openxmlformats.org/officeDocument/2006/relationships/worksheet" Target="worksheets/sheet25.xml" /><Relationship Id="rId33" Type="http://schemas.openxmlformats.org/officeDocument/2006/relationships/calcChain" Target="calcChain.xml" /><Relationship Id="rId2" Type="http://schemas.openxmlformats.org/officeDocument/2006/relationships/worksheet" Target="worksheets/sheet2.xml" /><Relationship Id="rId16" Type="http://schemas.openxmlformats.org/officeDocument/2006/relationships/worksheet" Target="worksheets/sheet16.xml" /><Relationship Id="rId20" Type="http://schemas.openxmlformats.org/officeDocument/2006/relationships/worksheet" Target="worksheets/sheet20.xml" /><Relationship Id="rId29" Type="http://schemas.openxmlformats.org/officeDocument/2006/relationships/externalLink" Target="externalLinks/externalLink2.xml" /><Relationship Id="rId1" Type="http://schemas.openxmlformats.org/officeDocument/2006/relationships/worksheet" Target="worksheets/sheet1.xml" /><Relationship Id="rId6" Type="http://schemas.openxmlformats.org/officeDocument/2006/relationships/worksheet" Target="worksheets/sheet6.xml" /><Relationship Id="rId11" Type="http://schemas.openxmlformats.org/officeDocument/2006/relationships/worksheet" Target="worksheets/sheet11.xml" /><Relationship Id="rId24" Type="http://schemas.openxmlformats.org/officeDocument/2006/relationships/worksheet" Target="worksheets/sheet24.xml" /><Relationship Id="rId32" Type="http://schemas.openxmlformats.org/officeDocument/2006/relationships/sharedStrings" Target="sharedStrings.xml" /><Relationship Id="rId5" Type="http://schemas.openxmlformats.org/officeDocument/2006/relationships/worksheet" Target="worksheets/sheet5.xml" /><Relationship Id="rId15" Type="http://schemas.openxmlformats.org/officeDocument/2006/relationships/worksheet" Target="worksheets/sheet15.xml" /><Relationship Id="rId23" Type="http://schemas.openxmlformats.org/officeDocument/2006/relationships/worksheet" Target="worksheets/sheet23.xml" /><Relationship Id="rId28" Type="http://schemas.openxmlformats.org/officeDocument/2006/relationships/externalLink" Target="externalLinks/externalLink1.xml" /><Relationship Id="rId10" Type="http://schemas.openxmlformats.org/officeDocument/2006/relationships/worksheet" Target="worksheets/sheet10.xml" /><Relationship Id="rId19" Type="http://schemas.openxmlformats.org/officeDocument/2006/relationships/worksheet" Target="worksheets/sheet19.xml" /><Relationship Id="rId31" Type="http://schemas.openxmlformats.org/officeDocument/2006/relationships/styles" Target="styles.xml" /><Relationship Id="rId4" Type="http://schemas.openxmlformats.org/officeDocument/2006/relationships/worksheet" Target="worksheets/sheet4.xml" /><Relationship Id="rId9" Type="http://schemas.openxmlformats.org/officeDocument/2006/relationships/worksheet" Target="worksheets/sheet9.xml" /><Relationship Id="rId14" Type="http://schemas.openxmlformats.org/officeDocument/2006/relationships/worksheet" Target="worksheets/sheet14.xml" /><Relationship Id="rId22" Type="http://schemas.openxmlformats.org/officeDocument/2006/relationships/worksheet" Target="worksheets/sheet22.xml" /><Relationship Id="rId27" Type="http://schemas.openxmlformats.org/officeDocument/2006/relationships/worksheet" Target="worksheets/sheet27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:\Users\User\Documents\20180214-17_&#1055;&#1077;&#1088;&#1074;&#1077;&#1085;&#1089;&#1090;&#1074;&#1086;&#1050;&#1088;&#1072;&#1103;2005-2006\20180214-17_&#1055;&#1077;&#1088;&#1074;&#1077;&#1085;&#1089;&#1090;&#1074;&#1086;&#1050;&#1088;&#1072;&#1103;2005-2006-04.xlsm" TargetMode="External" 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aaaa/&#1052;&#1086;&#1080;%20&#1076;&#1086;&#1082;&#1091;&#1084;&#1077;&#1085;&#1090;&#1099;/_2016/2016/20160516-19_&#1055;&#1077;&#1088;&#1074;&#1077;&#1085;&#1089;&#1090;&#1074;&#1086;&#1056;&#1060;_&#1084;&#1072;&#1088;&#1072;&#1092;&#1086;&#1085;_&#1050;&#1088;&#1086;&#1087;&#1086;&#1090;&#1082;&#1080;&#1085;/20160516-19_&#1055;&#1056;_&#1084;&#1072;&#1088;&#1072;&#1092;&#1086;&#1085;_&#1050;&#1088;&#1086;&#1087;&#1086;&#1090;&#1082;&#1080;&#1085;.xlsx" TargetMode="External" 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артовый протокол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артовый протокол"/>
      <sheetName val="Итоговый протокол"/>
      <sheetName val="Отчет_ГСК_Первенство"/>
      <sheetName val="Техническая_марафон"/>
      <sheetName val="Нормативы"/>
      <sheetName val="Ведомость 6"/>
      <sheetName val="Очки"/>
      <sheetName val="Грамоты_МИНСПОРТА"/>
      <sheetName val="Протокол_прохождения"/>
      <sheetName val="Карточка эстафеты"/>
      <sheetName val="СП_без предварительных"/>
      <sheetName val="СП_с предварительными"/>
      <sheetName val="Техническая один зачет"/>
      <sheetName val="Именная заявка один зачет"/>
      <sheetName val="Техническая по возраст группам"/>
      <sheetName val="Именная по возраст группам"/>
      <sheetName val="Техническая параллельный зачет"/>
      <sheetName val="Именная параллельный зачет"/>
      <sheetName val="Дистанции взрослые"/>
      <sheetName val="Дистанции юниоры"/>
      <sheetName val="Дистанции старшие юноши"/>
      <sheetName val="Дистанции младшие юноши"/>
      <sheetName val="Рекорды"/>
      <sheetName val="Ст. секундометрист"/>
      <sheetName val="Нормы 2014"/>
    </sheetNames>
    <sheetDataSet>
      <sheetData sheetId="0">
        <row r="294">
          <cell r="F294" t="str">
            <v>Ярославская область</v>
          </cell>
        </row>
      </sheetData>
      <sheetData sheetId="1" refreshError="1">
        <row r="294">
          <cell r="F294" t="str">
            <v>Ярославская область</v>
          </cell>
        </row>
        <row r="300">
          <cell r="F300" t="str">
            <v>Тульская область</v>
          </cell>
        </row>
        <row r="304">
          <cell r="F304" t="str">
            <v>Челябинская область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71"/>
  <sheetViews>
    <sheetView view="pageLayout" topLeftCell="A55" workbookViewId="0">
      <selection activeCell="D74" sqref="D74"/>
    </sheetView>
  </sheetViews>
  <sheetFormatPr defaultRowHeight="15"/>
  <cols>
    <col min="1" max="1" width="7.12890625" customWidth="1"/>
    <col min="2" max="2" width="6.58984375" customWidth="1"/>
    <col min="3" max="3" width="18.6953125" customWidth="1"/>
    <col min="4" max="4" width="13.71875" customWidth="1"/>
    <col min="5" max="5" width="6.72265625" customWidth="1"/>
    <col min="6" max="6" width="18.96484375" customWidth="1"/>
    <col min="7" max="7" width="6.05078125" customWidth="1"/>
    <col min="8" max="8" width="6.45703125" customWidth="1"/>
    <col min="9" max="9" width="7.80078125" customWidth="1"/>
    <col min="10" max="10" width="7.12890625" customWidth="1"/>
    <col min="11" max="11" width="5.109375" customWidth="1"/>
    <col min="12" max="14" width="0.671875" customWidth="1"/>
  </cols>
  <sheetData>
    <row r="1" spans="1:11" s="1254" customFormat="1">
      <c r="A1" s="1504"/>
      <c r="B1" s="1504"/>
      <c r="C1" s="1504"/>
      <c r="D1" s="1504"/>
      <c r="E1" s="1504"/>
      <c r="F1" s="1504"/>
      <c r="G1" s="1504"/>
      <c r="H1" s="1504"/>
      <c r="I1" s="1504"/>
      <c r="J1" s="1504"/>
      <c r="K1" s="1504"/>
    </row>
    <row r="2" spans="1:11" s="1254" customFormat="1">
      <c r="A2" s="1504"/>
      <c r="B2" s="1504"/>
      <c r="C2" s="1504"/>
      <c r="D2" s="1504"/>
      <c r="E2" s="1504"/>
      <c r="F2" s="1504"/>
      <c r="G2" s="1504"/>
      <c r="H2" s="1504"/>
      <c r="I2" s="1504"/>
      <c r="J2" s="1504"/>
      <c r="K2" s="1504"/>
    </row>
    <row r="3" spans="1:11" s="1254" customFormat="1">
      <c r="A3" s="1504"/>
      <c r="B3" s="1504"/>
      <c r="C3" s="1504"/>
      <c r="D3" s="1504"/>
      <c r="E3" s="1504"/>
      <c r="F3" s="1504"/>
      <c r="G3" s="1504"/>
      <c r="H3" s="1504"/>
      <c r="I3" s="1504"/>
      <c r="J3" s="1504"/>
      <c r="K3" s="1504"/>
    </row>
    <row r="4" spans="1:11" s="1254" customFormat="1" ht="12.75" customHeight="1">
      <c r="A4" s="533"/>
      <c r="B4" s="1292"/>
      <c r="C4" s="1292"/>
      <c r="D4" s="531"/>
      <c r="E4" s="586"/>
      <c r="F4" s="1292"/>
      <c r="G4" s="1292"/>
      <c r="H4" s="528"/>
      <c r="I4" s="528"/>
      <c r="J4" s="531"/>
      <c r="K4" s="558"/>
    </row>
    <row r="5" spans="1:11" s="1254" customFormat="1" ht="12.75" customHeight="1">
      <c r="A5" s="533"/>
      <c r="B5" s="1292"/>
      <c r="C5" s="1292"/>
      <c r="D5" s="531"/>
      <c r="E5" s="586"/>
      <c r="F5" s="1292"/>
      <c r="G5" s="1292"/>
      <c r="H5" s="528"/>
      <c r="I5" s="528"/>
      <c r="J5" s="531"/>
      <c r="K5" s="558"/>
    </row>
    <row r="6" spans="1:11" s="1254" customFormat="1" ht="12.75" customHeight="1">
      <c r="A6" s="533"/>
      <c r="B6" s="1292"/>
      <c r="C6" s="1292"/>
      <c r="D6" s="531"/>
      <c r="E6" s="586"/>
      <c r="F6" s="1292"/>
      <c r="G6" s="1292"/>
      <c r="H6" s="528"/>
      <c r="I6" s="528"/>
      <c r="J6" s="531"/>
      <c r="K6" s="558"/>
    </row>
    <row r="7" spans="1:11" s="1254" customFormat="1" ht="12.75" customHeight="1">
      <c r="A7" s="533"/>
      <c r="B7" s="1292"/>
      <c r="C7" s="1292"/>
      <c r="D7" s="531"/>
      <c r="E7" s="586"/>
      <c r="F7" s="1292"/>
      <c r="G7" s="1292"/>
      <c r="H7" s="528"/>
      <c r="I7" s="528"/>
      <c r="J7" s="531"/>
      <c r="K7" s="558"/>
    </row>
    <row r="8" spans="1:11" s="1254" customFormat="1" ht="12.75" customHeight="1">
      <c r="A8" s="533"/>
      <c r="B8" s="1292"/>
      <c r="C8" s="1292"/>
      <c r="D8" s="531"/>
      <c r="E8" s="586"/>
      <c r="F8" s="1292"/>
      <c r="G8" s="1292"/>
      <c r="H8" s="528"/>
      <c r="I8" s="528"/>
      <c r="J8" s="531"/>
      <c r="K8" s="558"/>
    </row>
    <row r="9" spans="1:11" s="1254" customFormat="1" ht="12.75" customHeight="1">
      <c r="A9" s="533"/>
      <c r="B9" s="1292"/>
      <c r="C9" s="1292"/>
      <c r="D9" s="531"/>
      <c r="E9" s="586"/>
      <c r="F9" s="1292"/>
      <c r="G9" s="1292"/>
      <c r="H9" s="528"/>
      <c r="I9" s="528"/>
      <c r="J9" s="531"/>
      <c r="K9" s="558"/>
    </row>
    <row r="10" spans="1:11" s="1254" customFormat="1" ht="12.75" customHeight="1">
      <c r="A10" s="533"/>
      <c r="B10" s="1292"/>
      <c r="C10" s="1292"/>
      <c r="D10" s="531"/>
      <c r="E10" s="586"/>
      <c r="F10" s="1292"/>
      <c r="G10" s="1292"/>
      <c r="H10" s="528"/>
      <c r="I10" s="528"/>
      <c r="J10" s="531"/>
      <c r="K10" s="558"/>
    </row>
    <row r="11" spans="1:11" s="1254" customFormat="1" ht="12.75" customHeight="1">
      <c r="A11" s="1292"/>
      <c r="B11" s="1292"/>
      <c r="C11" s="1292"/>
      <c r="D11" s="1292"/>
      <c r="E11" s="1292"/>
      <c r="F11" s="1292"/>
      <c r="G11" s="1292"/>
      <c r="H11" s="1292"/>
      <c r="I11" s="1292"/>
      <c r="J11" s="1292"/>
      <c r="K11" s="1292"/>
    </row>
    <row r="12" spans="1:11" s="1254" customFormat="1" ht="12.75" customHeight="1">
      <c r="A12" s="1292"/>
      <c r="B12" s="1292"/>
      <c r="C12" s="1292"/>
      <c r="D12" s="1292"/>
      <c r="E12" s="1292"/>
      <c r="F12" s="1292"/>
      <c r="G12" s="1292"/>
      <c r="H12" s="1292"/>
      <c r="I12" s="1292"/>
      <c r="J12" s="1292"/>
      <c r="K12" s="1292"/>
    </row>
    <row r="13" spans="1:11" s="1254" customFormat="1" ht="12.75" customHeight="1">
      <c r="A13" s="1292"/>
      <c r="B13" s="1292"/>
      <c r="C13" s="1292"/>
      <c r="D13" s="1292"/>
      <c r="E13" s="1292"/>
      <c r="F13" s="1292"/>
      <c r="G13" s="1292"/>
      <c r="H13" s="1292"/>
      <c r="I13" s="1292"/>
      <c r="J13" s="1292"/>
      <c r="K13" s="1292"/>
    </row>
    <row r="14" spans="1:11" s="1254" customFormat="1" ht="12.75" customHeight="1">
      <c r="A14" s="1292"/>
      <c r="B14" s="1292"/>
      <c r="C14" s="1292"/>
      <c r="D14" s="1292"/>
      <c r="E14" s="1292"/>
      <c r="F14" s="1292"/>
      <c r="G14" s="1292"/>
      <c r="H14" s="1292"/>
      <c r="I14" s="1292"/>
      <c r="J14" s="1292"/>
      <c r="K14" s="1292"/>
    </row>
    <row r="15" spans="1:11" s="1254" customFormat="1" ht="12.75" customHeight="1">
      <c r="A15" s="1292"/>
      <c r="B15" s="1292"/>
      <c r="C15" s="1292"/>
      <c r="D15" s="1292"/>
      <c r="E15" s="1292"/>
      <c r="F15" s="1292"/>
      <c r="G15" s="1292"/>
      <c r="H15" s="1292"/>
      <c r="I15" s="1292"/>
      <c r="J15" s="1292"/>
      <c r="K15" s="1292"/>
    </row>
    <row r="16" spans="1:11" s="1254" customFormat="1" ht="12.75" customHeight="1">
      <c r="A16" s="533"/>
      <c r="B16" s="1292"/>
      <c r="C16" s="1292"/>
      <c r="D16" s="531"/>
      <c r="E16" s="586"/>
      <c r="F16" s="1292"/>
      <c r="G16" s="1292"/>
      <c r="H16" s="528"/>
      <c r="I16" s="528"/>
      <c r="J16" s="531"/>
      <c r="K16" s="558"/>
    </row>
    <row r="17" spans="1:11" s="1254" customFormat="1" ht="12.75" customHeight="1">
      <c r="A17" s="1292"/>
      <c r="B17" s="1292"/>
      <c r="C17" s="1292"/>
      <c r="D17" s="1292"/>
      <c r="E17" s="1292"/>
      <c r="F17" s="1292"/>
      <c r="G17" s="1292"/>
      <c r="H17" s="1292"/>
      <c r="I17" s="1292"/>
      <c r="J17" s="1292"/>
      <c r="K17" s="1292"/>
    </row>
    <row r="18" spans="1:11" s="1254" customFormat="1" ht="12.75" customHeight="1">
      <c r="A18" s="1292"/>
      <c r="B18" s="1292"/>
      <c r="C18" s="1292"/>
      <c r="D18" s="1292"/>
      <c r="E18" s="1292"/>
      <c r="F18" s="1292"/>
      <c r="G18" s="1292"/>
      <c r="H18" s="1292"/>
      <c r="I18" s="1292"/>
      <c r="J18" s="1292"/>
      <c r="K18" s="1292"/>
    </row>
    <row r="19" spans="1:11" s="1254" customFormat="1" ht="12.75" customHeight="1">
      <c r="A19" s="1292"/>
      <c r="B19" s="1292"/>
      <c r="C19" s="1292"/>
      <c r="D19" s="1292"/>
      <c r="E19" s="1292"/>
      <c r="F19" s="1292"/>
      <c r="G19" s="1292"/>
      <c r="H19" s="1292"/>
      <c r="I19" s="1292"/>
      <c r="J19" s="1292"/>
      <c r="K19" s="1292"/>
    </row>
    <row r="20" spans="1:11" s="1254" customFormat="1" ht="12.75" customHeight="1">
      <c r="A20" s="1292"/>
      <c r="B20" s="1292"/>
      <c r="C20" s="1292"/>
      <c r="D20" s="1292"/>
      <c r="E20" s="1292"/>
      <c r="F20" s="1292"/>
      <c r="G20" s="1292"/>
      <c r="H20" s="1292"/>
      <c r="I20" s="1292"/>
      <c r="J20" s="1292"/>
      <c r="K20" s="1292"/>
    </row>
    <row r="21" spans="1:11" s="1254" customFormat="1" ht="16.5" customHeight="1">
      <c r="A21" s="1292"/>
      <c r="B21" s="1292"/>
      <c r="C21" s="1292"/>
      <c r="D21" s="1292"/>
      <c r="E21" s="1292"/>
      <c r="F21" s="1292"/>
      <c r="G21" s="1292"/>
      <c r="H21" s="1292"/>
      <c r="I21" s="1292"/>
      <c r="J21" s="1292"/>
      <c r="K21" s="1292"/>
    </row>
    <row r="22" spans="1:11" s="1254" customFormat="1" ht="46.5" customHeight="1">
      <c r="A22" s="1505" t="s">
        <v>1427</v>
      </c>
      <c r="B22" s="1505"/>
      <c r="C22" s="1505"/>
      <c r="D22" s="1505"/>
      <c r="E22" s="1505"/>
      <c r="F22" s="1505"/>
      <c r="G22" s="1505"/>
      <c r="H22" s="1505"/>
      <c r="I22" s="1505"/>
      <c r="J22" s="1505"/>
      <c r="K22" s="1505"/>
    </row>
    <row r="23" spans="1:11" s="1254" customFormat="1" ht="21">
      <c r="A23" s="1506" t="s">
        <v>258</v>
      </c>
      <c r="B23" s="1506"/>
      <c r="C23" s="1506"/>
      <c r="D23" s="1506"/>
      <c r="E23" s="1506"/>
      <c r="F23" s="1506"/>
      <c r="G23" s="1506"/>
      <c r="H23" s="1506"/>
      <c r="I23" s="1506"/>
      <c r="J23" s="1506"/>
      <c r="K23" s="1506"/>
    </row>
    <row r="24" spans="1:11" s="1254" customFormat="1" ht="12.75" customHeight="1">
      <c r="A24" s="1274"/>
      <c r="B24" s="1274"/>
      <c r="C24" s="1274"/>
      <c r="D24" s="1274"/>
      <c r="E24" s="1274"/>
      <c r="F24" s="1274"/>
      <c r="G24" s="1274"/>
      <c r="H24" s="1274"/>
      <c r="I24" s="1274"/>
      <c r="J24" s="1274"/>
      <c r="K24" s="1274"/>
    </row>
    <row r="25" spans="1:11" s="1254" customFormat="1" ht="22.5" customHeight="1">
      <c r="A25" s="1503"/>
      <c r="B25" s="1503"/>
      <c r="C25" s="1503"/>
      <c r="D25" s="1503"/>
      <c r="E25" s="1503"/>
      <c r="F25" s="1503"/>
      <c r="G25" s="1503"/>
      <c r="H25" s="1503"/>
      <c r="I25" s="1503"/>
      <c r="J25" s="1503"/>
      <c r="K25" s="1503"/>
    </row>
    <row r="26" spans="1:11" s="1254" customFormat="1" ht="12.75" customHeight="1">
      <c r="A26" s="533"/>
      <c r="B26" s="1292"/>
      <c r="C26" s="1292"/>
      <c r="D26" s="531"/>
      <c r="E26" s="586"/>
      <c r="F26" s="1292"/>
      <c r="G26" s="1292"/>
      <c r="H26" s="528"/>
      <c r="I26" s="528"/>
      <c r="J26" s="531"/>
      <c r="K26" s="558"/>
    </row>
    <row r="27" spans="1:11" s="1254" customFormat="1" ht="12.75" customHeight="1">
      <c r="A27" s="533"/>
      <c r="B27" s="1292"/>
      <c r="C27" s="1292"/>
      <c r="D27" s="531"/>
      <c r="E27" s="586"/>
      <c r="F27" s="1292"/>
      <c r="G27" s="1292"/>
      <c r="H27" s="528"/>
      <c r="I27" s="528"/>
      <c r="J27" s="531"/>
      <c r="K27" s="558"/>
    </row>
    <row r="28" spans="1:11" s="1254" customFormat="1" ht="12.75" customHeight="1">
      <c r="A28" s="533"/>
      <c r="B28" s="1292"/>
      <c r="C28" s="1292"/>
      <c r="D28" s="531"/>
      <c r="E28" s="586"/>
      <c r="F28" s="1292"/>
      <c r="G28" s="1292"/>
      <c r="H28" s="528"/>
      <c r="I28" s="528"/>
      <c r="J28" s="531"/>
      <c r="K28" s="558"/>
    </row>
    <row r="29" spans="1:11" s="1254" customFormat="1" ht="12.75" customHeight="1">
      <c r="A29" s="533"/>
      <c r="B29" s="1292"/>
      <c r="C29" s="1292"/>
      <c r="D29" s="531"/>
      <c r="E29" s="586"/>
      <c r="F29" s="1292"/>
      <c r="G29" s="1292"/>
      <c r="H29" s="528"/>
      <c r="I29" s="528"/>
      <c r="J29" s="531"/>
      <c r="K29" s="558"/>
    </row>
    <row r="30" spans="1:11" s="1254" customFormat="1" ht="12.75" customHeight="1">
      <c r="A30" s="533"/>
      <c r="B30" s="1292"/>
      <c r="C30" s="1292"/>
      <c r="D30" s="531"/>
      <c r="E30" s="586"/>
      <c r="F30" s="1292"/>
      <c r="G30" s="1292"/>
      <c r="H30" s="528"/>
      <c r="I30" s="528"/>
      <c r="J30" s="531"/>
      <c r="K30" s="558"/>
    </row>
    <row r="31" spans="1:11" s="1254" customFormat="1" ht="12.75" customHeight="1">
      <c r="A31" s="533"/>
      <c r="B31" s="1292"/>
      <c r="C31" s="1292"/>
      <c r="D31" s="531"/>
      <c r="E31" s="586"/>
      <c r="F31" s="1292"/>
      <c r="G31" s="1292"/>
      <c r="H31" s="528"/>
      <c r="I31" s="528"/>
      <c r="J31" s="531"/>
      <c r="K31" s="558"/>
    </row>
    <row r="32" spans="1:11" s="1254" customFormat="1" ht="16.5" customHeight="1">
      <c r="A32" s="533"/>
      <c r="B32" s="1292"/>
      <c r="C32" s="1292"/>
      <c r="D32" s="531"/>
      <c r="E32" s="586"/>
      <c r="F32" s="1292"/>
      <c r="G32" s="1292"/>
      <c r="H32" s="528"/>
      <c r="I32" s="528"/>
      <c r="J32" s="531"/>
      <c r="K32" s="558"/>
    </row>
    <row r="33" spans="1:13" s="1254" customFormat="1" ht="16.5" customHeight="1">
      <c r="A33" s="533"/>
      <c r="B33" s="1292"/>
      <c r="C33" s="1292"/>
      <c r="D33" s="531"/>
      <c r="E33" s="586"/>
      <c r="F33" s="1292"/>
      <c r="G33" s="1292"/>
      <c r="H33" s="528"/>
      <c r="I33" s="528"/>
      <c r="J33" s="531"/>
      <c r="K33" s="558"/>
    </row>
    <row r="34" spans="1:13" s="1254" customFormat="1" ht="16.5" customHeight="1">
      <c r="A34" s="533"/>
      <c r="B34" s="1292"/>
      <c r="C34" s="1292"/>
      <c r="D34" s="531"/>
      <c r="E34" s="586"/>
      <c r="F34" s="1292"/>
      <c r="G34" s="1292"/>
      <c r="H34" s="528"/>
      <c r="I34" s="528"/>
      <c r="J34" s="531"/>
      <c r="K34" s="558"/>
    </row>
    <row r="35" spans="1:13" s="1254" customFormat="1" ht="12.75" customHeight="1">
      <c r="A35" s="533"/>
      <c r="B35" s="1292"/>
      <c r="C35" s="1292"/>
      <c r="D35" s="531"/>
      <c r="E35" s="586"/>
      <c r="F35" s="1292"/>
      <c r="G35" s="1292"/>
      <c r="H35" s="528"/>
      <c r="I35" s="528"/>
      <c r="J35" s="531"/>
      <c r="K35" s="558"/>
    </row>
    <row r="36" spans="1:13" s="1254" customFormat="1" ht="12.75" customHeight="1">
      <c r="A36" s="533"/>
      <c r="B36" s="1292"/>
      <c r="C36" s="1292"/>
      <c r="D36" s="531"/>
      <c r="E36" s="586"/>
      <c r="F36" s="1292"/>
      <c r="G36" s="1292"/>
      <c r="H36" s="528"/>
      <c r="I36" s="528"/>
      <c r="J36" s="531"/>
      <c r="K36" s="558"/>
    </row>
    <row r="37" spans="1:13" s="1254" customFormat="1" ht="12.75" customHeight="1">
      <c r="A37" s="533"/>
      <c r="B37" s="1292"/>
      <c r="C37" s="1292"/>
      <c r="D37" s="531"/>
      <c r="E37" s="586"/>
      <c r="F37" s="1292"/>
      <c r="G37" s="1292"/>
      <c r="H37" s="528"/>
      <c r="I37" s="528"/>
      <c r="J37" s="531"/>
      <c r="K37" s="558"/>
    </row>
    <row r="38" spans="1:13" s="1254" customFormat="1" ht="12.75" customHeight="1">
      <c r="A38" s="533"/>
      <c r="B38" s="1292"/>
      <c r="C38" s="1292"/>
      <c r="D38" s="531"/>
      <c r="E38" s="586"/>
      <c r="F38" s="1292"/>
      <c r="G38" s="1292"/>
      <c r="H38" s="528"/>
      <c r="I38" s="528"/>
      <c r="J38" s="531"/>
      <c r="K38" s="558"/>
    </row>
    <row r="39" spans="1:13" s="1254" customFormat="1" ht="12.75" customHeight="1">
      <c r="A39" s="533"/>
      <c r="B39" s="1292"/>
      <c r="C39" s="1292"/>
      <c r="D39" s="531"/>
      <c r="E39" s="586"/>
      <c r="F39" s="1292"/>
      <c r="G39" s="1292"/>
      <c r="H39" s="528"/>
      <c r="I39" s="528"/>
      <c r="J39" s="531"/>
      <c r="K39" s="558"/>
    </row>
    <row r="40" spans="1:13" s="1254" customFormat="1" ht="12.75" customHeight="1">
      <c r="A40" s="533"/>
      <c r="B40" s="1292"/>
      <c r="C40" s="1292"/>
      <c r="D40" s="531"/>
      <c r="E40" s="586"/>
      <c r="F40" s="1292"/>
      <c r="G40" s="1292"/>
      <c r="H40" s="528"/>
      <c r="I40" s="528"/>
      <c r="J40" s="531"/>
      <c r="K40" s="558"/>
    </row>
    <row r="41" spans="1:13" s="1254" customFormat="1" ht="12.75" customHeight="1">
      <c r="A41" s="533"/>
      <c r="B41" s="1292"/>
      <c r="C41" s="1292"/>
      <c r="D41" s="531"/>
      <c r="E41" s="586"/>
      <c r="F41" s="1292"/>
      <c r="G41" s="1292"/>
      <c r="H41" s="528"/>
      <c r="I41" s="528"/>
      <c r="J41" s="531"/>
      <c r="K41" s="558"/>
    </row>
    <row r="42" spans="1:13" s="1254" customFormat="1" ht="12.75" customHeight="1">
      <c r="A42" s="533"/>
      <c r="B42" s="1292"/>
      <c r="C42" s="1292"/>
      <c r="D42" s="531"/>
      <c r="E42" s="586"/>
      <c r="F42" s="1292"/>
      <c r="G42" s="1292"/>
      <c r="H42" s="528"/>
      <c r="I42" s="528"/>
      <c r="J42" s="531"/>
      <c r="K42" s="558"/>
    </row>
    <row r="43" spans="1:13" s="1254" customFormat="1" ht="12.75" customHeight="1">
      <c r="A43" s="533"/>
      <c r="B43" s="1292"/>
      <c r="C43" s="1292"/>
      <c r="D43" s="531"/>
      <c r="E43" s="586"/>
      <c r="F43" s="1292"/>
      <c r="G43" s="1292"/>
      <c r="H43" s="528"/>
      <c r="I43" s="528"/>
      <c r="J43" s="531"/>
      <c r="K43" s="558"/>
    </row>
    <row r="44" spans="1:13" s="1254" customFormat="1" ht="12.75" customHeight="1">
      <c r="A44" s="167"/>
      <c r="B44" s="168"/>
      <c r="C44" s="169"/>
      <c r="D44" s="169"/>
      <c r="E44" s="169"/>
      <c r="F44" s="169"/>
      <c r="G44" s="169"/>
      <c r="H44" s="1255"/>
      <c r="I44" s="168"/>
      <c r="J44" s="170"/>
    </row>
    <row r="45" spans="1:13" s="1254" customFormat="1" ht="12.75" customHeight="1">
      <c r="A45" s="167"/>
      <c r="B45" s="168"/>
      <c r="C45" s="169"/>
      <c r="D45" s="169"/>
      <c r="E45" s="169"/>
      <c r="F45" s="169"/>
      <c r="G45" s="169"/>
      <c r="H45" s="1255"/>
      <c r="I45" s="168"/>
      <c r="J45" s="170"/>
    </row>
    <row r="46" spans="1:13" s="1254" customFormat="1" ht="12.75" customHeight="1">
      <c r="A46" s="167"/>
      <c r="B46" s="168"/>
      <c r="C46" s="169"/>
      <c r="D46" s="169"/>
      <c r="E46" s="169"/>
      <c r="F46" s="169"/>
      <c r="G46" s="169"/>
      <c r="H46" s="1255"/>
      <c r="I46" s="168"/>
      <c r="J46" s="170"/>
    </row>
    <row r="47" spans="1:13" s="1254" customFormat="1" ht="12.75" customHeight="1">
      <c r="A47" s="533"/>
      <c r="B47" s="1292"/>
      <c r="C47" s="1510" t="s">
        <v>1556</v>
      </c>
      <c r="D47" s="1510"/>
      <c r="E47" s="1510"/>
      <c r="F47" s="1510"/>
      <c r="G47" s="1510"/>
      <c r="H47" s="1510"/>
      <c r="I47" s="1293"/>
      <c r="J47" s="1293"/>
      <c r="K47" s="1256"/>
      <c r="L47" s="1256"/>
      <c r="M47" s="1256"/>
    </row>
    <row r="48" spans="1:13" s="1254" customFormat="1" ht="12.75" customHeight="1">
      <c r="A48" s="533"/>
      <c r="B48" s="1292"/>
      <c r="C48" s="1510"/>
      <c r="D48" s="1510"/>
      <c r="E48" s="1510"/>
      <c r="F48" s="1510"/>
      <c r="G48" s="1510"/>
      <c r="H48" s="1510"/>
      <c r="I48" s="1294"/>
      <c r="J48" s="1294"/>
      <c r="K48" s="1294"/>
      <c r="L48" s="1294"/>
      <c r="M48" s="1294"/>
    </row>
    <row r="49" spans="1:11" s="1254" customFormat="1" ht="12.75" customHeight="1">
      <c r="A49" s="533"/>
      <c r="B49" s="1292"/>
      <c r="C49" s="1292"/>
      <c r="D49" s="531"/>
      <c r="E49" s="586"/>
      <c r="F49" s="1292"/>
      <c r="G49" s="1292"/>
      <c r="H49" s="528"/>
      <c r="I49" s="528"/>
      <c r="J49" s="531"/>
      <c r="K49" s="558"/>
    </row>
    <row r="50" spans="1:11" ht="9" customHeight="1">
      <c r="A50" s="6"/>
      <c r="B50" s="7"/>
      <c r="C50" s="1511">
        <f>$A$1</f>
        <v>0</v>
      </c>
      <c r="D50" s="1511"/>
      <c r="E50" s="1511"/>
      <c r="F50" s="1511"/>
      <c r="G50" s="1511"/>
      <c r="H50" s="1511"/>
      <c r="I50" s="1511"/>
      <c r="J50" s="1511"/>
      <c r="K50" s="1511"/>
    </row>
    <row r="51" spans="1:11" ht="12.75" customHeight="1">
      <c r="A51" s="6"/>
      <c r="B51" s="7"/>
      <c r="C51" s="1511">
        <f>$A$2</f>
        <v>0</v>
      </c>
      <c r="D51" s="1511"/>
      <c r="E51" s="1511"/>
      <c r="F51" s="1511"/>
      <c r="G51" s="1511"/>
      <c r="H51" s="1511"/>
      <c r="I51" s="1511"/>
      <c r="J51" s="1511"/>
      <c r="K51" s="1511"/>
    </row>
    <row r="52" spans="1:11" ht="12.75" customHeight="1">
      <c r="A52" s="6"/>
      <c r="B52" s="7"/>
      <c r="C52" s="1511">
        <f>$A$3</f>
        <v>0</v>
      </c>
      <c r="D52" s="1511"/>
      <c r="E52" s="1511"/>
      <c r="F52" s="1511"/>
      <c r="G52" s="1511"/>
      <c r="H52" s="1511"/>
      <c r="I52" s="1511"/>
      <c r="J52" s="1511"/>
      <c r="K52" s="1511"/>
    </row>
    <row r="53" spans="1:11" ht="41.25" customHeight="1">
      <c r="A53" s="1505" t="str">
        <f>$A$22</f>
        <v>Всероссийские соревнования среди студентов</v>
      </c>
      <c r="B53" s="1505"/>
      <c r="C53" s="1505"/>
      <c r="D53" s="1505"/>
      <c r="E53" s="1505"/>
      <c r="F53" s="1505"/>
      <c r="G53" s="1505"/>
      <c r="H53" s="1505"/>
      <c r="I53" s="1505"/>
      <c r="J53" s="1505"/>
      <c r="K53" s="1505"/>
    </row>
    <row r="54" spans="1:11" ht="21" customHeight="1">
      <c r="A54" s="1512" t="str">
        <f>$A$23</f>
        <v>по подводному спорту (1460008511Я) (плавание в ластах)</v>
      </c>
      <c r="B54" s="1513"/>
      <c r="C54" s="1513"/>
      <c r="D54" s="1513"/>
      <c r="E54" s="1513"/>
      <c r="F54" s="1513"/>
      <c r="G54" s="1513"/>
      <c r="H54" s="1513"/>
      <c r="I54" s="1513"/>
      <c r="J54" s="1513"/>
      <c r="K54" s="1513"/>
    </row>
    <row r="55" spans="1:11" ht="29.25" customHeight="1">
      <c r="A55" s="1508" t="s">
        <v>1729</v>
      </c>
      <c r="B55" s="1508"/>
      <c r="C55" s="1508"/>
      <c r="D55" s="9"/>
      <c r="E55" s="1201"/>
      <c r="F55" s="1509" t="str">
        <f>$C$47</f>
        <v>г. Красноярск, бассейн ДВС СибГУ, 50 м</v>
      </c>
      <c r="G55" s="1509"/>
      <c r="H55" s="1509"/>
      <c r="I55" s="1509"/>
      <c r="J55" s="1509"/>
    </row>
    <row r="56" spans="1:11" ht="20.25" customHeight="1">
      <c r="A56" s="1518" t="s">
        <v>1614</v>
      </c>
      <c r="B56" s="1518"/>
      <c r="C56" s="1518"/>
      <c r="D56" s="1518"/>
      <c r="E56" s="1518"/>
      <c r="F56" s="1518"/>
      <c r="G56" s="1518"/>
      <c r="H56" s="1518"/>
      <c r="I56" s="1518"/>
      <c r="J56" s="1518"/>
      <c r="K56" s="1518"/>
    </row>
    <row r="57" spans="1:11" ht="23.45" customHeight="1">
      <c r="A57" s="1519" t="s">
        <v>1728</v>
      </c>
      <c r="B57" s="1519"/>
      <c r="C57" s="1519"/>
      <c r="D57" s="1519"/>
      <c r="E57" s="1519"/>
      <c r="F57" s="1519"/>
      <c r="G57" s="1519"/>
      <c r="H57" s="1519"/>
      <c r="I57" s="1519"/>
      <c r="J57" s="1519"/>
      <c r="K57" s="1519"/>
    </row>
    <row r="58" spans="1:11" ht="33" customHeight="1">
      <c r="A58" s="1302" t="s">
        <v>16</v>
      </c>
      <c r="B58" s="1520" t="s">
        <v>6</v>
      </c>
      <c r="C58" s="1521"/>
      <c r="D58" s="1521"/>
      <c r="E58" s="1522"/>
      <c r="F58" s="1303"/>
      <c r="G58" s="1303"/>
      <c r="H58" s="1303"/>
      <c r="I58" s="1304" t="s">
        <v>1730</v>
      </c>
      <c r="J58" s="1523" t="s">
        <v>18</v>
      </c>
      <c r="K58" s="1524"/>
    </row>
    <row r="59" spans="1:11" ht="15" customHeight="1">
      <c r="A59" s="1"/>
      <c r="B59" s="1140"/>
      <c r="C59" s="1140"/>
      <c r="D59" s="1141"/>
      <c r="E59" s="1142"/>
      <c r="F59" s="1140"/>
      <c r="G59" s="1140"/>
      <c r="H59" s="1305"/>
      <c r="I59" s="1305"/>
      <c r="J59" s="1141"/>
      <c r="K59" s="5"/>
    </row>
    <row r="60" spans="1:11" ht="28.15" customHeight="1">
      <c r="A60" s="1306">
        <v>1</v>
      </c>
      <c r="B60" s="166" t="s">
        <v>1695</v>
      </c>
      <c r="C60" s="1140"/>
      <c r="D60" s="1141"/>
      <c r="E60" s="1142"/>
      <c r="F60" s="1307"/>
      <c r="G60" s="1307"/>
      <c r="H60" s="1307"/>
      <c r="I60" s="1307">
        <v>48</v>
      </c>
      <c r="J60" s="1288">
        <v>1903</v>
      </c>
      <c r="K60" s="488"/>
    </row>
    <row r="61" spans="1:11" ht="28.15" customHeight="1">
      <c r="A61" s="1306">
        <v>2</v>
      </c>
      <c r="B61" s="166" t="s">
        <v>1707</v>
      </c>
      <c r="C61" s="1263"/>
      <c r="D61" s="586"/>
      <c r="E61" s="13"/>
      <c r="F61" s="15"/>
      <c r="G61" s="1263"/>
      <c r="H61" s="1265"/>
      <c r="I61" s="1309">
        <v>48</v>
      </c>
      <c r="J61" s="1308">
        <v>1717</v>
      </c>
      <c r="K61" s="586"/>
    </row>
    <row r="62" spans="1:11" ht="28.15" customHeight="1">
      <c r="A62" s="1306">
        <v>3</v>
      </c>
      <c r="B62" s="166" t="s">
        <v>1699</v>
      </c>
      <c r="C62" s="1140"/>
      <c r="D62" s="1141"/>
      <c r="E62" s="1142"/>
      <c r="F62" s="1307"/>
      <c r="G62" s="1307"/>
      <c r="H62" s="1307"/>
      <c r="I62" s="1307">
        <v>38</v>
      </c>
      <c r="J62" s="1288">
        <v>1088</v>
      </c>
      <c r="K62" s="488"/>
    </row>
    <row r="63" spans="1:11" ht="28.15" customHeight="1">
      <c r="A63" s="1306">
        <v>4</v>
      </c>
      <c r="B63" s="166" t="s">
        <v>1709</v>
      </c>
      <c r="C63" s="1263"/>
      <c r="D63" s="586"/>
      <c r="E63" s="13"/>
      <c r="F63" s="15"/>
      <c r="G63" s="1263"/>
      <c r="H63" s="1265"/>
      <c r="I63" s="1309">
        <v>15</v>
      </c>
      <c r="J63" s="1308">
        <v>416</v>
      </c>
      <c r="K63" s="488"/>
    </row>
    <row r="64" spans="1:11" ht="28.15" customHeight="1">
      <c r="A64" s="1306">
        <v>5</v>
      </c>
      <c r="B64" s="166" t="s">
        <v>1725</v>
      </c>
      <c r="C64" s="1140"/>
      <c r="D64" s="1141"/>
      <c r="E64" s="1142"/>
      <c r="F64" s="1307"/>
      <c r="G64" s="1307"/>
      <c r="H64" s="1307"/>
      <c r="I64" s="1307">
        <v>8</v>
      </c>
      <c r="J64" s="1331">
        <v>377</v>
      </c>
      <c r="K64" s="586"/>
    </row>
    <row r="65" spans="1:11" ht="28.15" customHeight="1">
      <c r="A65" s="1306">
        <v>6</v>
      </c>
      <c r="B65" s="166" t="s">
        <v>1711</v>
      </c>
      <c r="C65" s="1140"/>
      <c r="D65" s="1141"/>
      <c r="E65" s="1142"/>
      <c r="F65" s="1307"/>
      <c r="G65" s="1307"/>
      <c r="H65" s="1307"/>
      <c r="I65" s="1307">
        <v>9</v>
      </c>
      <c r="J65" s="1288">
        <v>269</v>
      </c>
      <c r="K65" s="488"/>
    </row>
    <row r="66" spans="1:11" ht="28.15" customHeight="1">
      <c r="A66" s="1306">
        <v>7</v>
      </c>
      <c r="B66" s="166" t="s">
        <v>1727</v>
      </c>
      <c r="C66" s="1140"/>
      <c r="D66" s="1141"/>
      <c r="E66" s="1142"/>
      <c r="F66" s="1307"/>
      <c r="G66" s="1307"/>
      <c r="H66" s="1307"/>
      <c r="I66" s="1307">
        <v>6</v>
      </c>
      <c r="J66" s="1288">
        <v>251</v>
      </c>
      <c r="K66" s="488"/>
    </row>
    <row r="67" spans="1:11" ht="28.15" customHeight="1">
      <c r="A67" s="1306">
        <v>8</v>
      </c>
      <c r="B67" s="166" t="s">
        <v>1732</v>
      </c>
      <c r="C67" s="1263"/>
      <c r="D67" s="586"/>
      <c r="E67" s="13"/>
      <c r="F67" s="15"/>
      <c r="G67" s="1263"/>
      <c r="H67" s="1265"/>
      <c r="I67" s="1309">
        <v>6</v>
      </c>
      <c r="J67" s="1308">
        <v>228</v>
      </c>
      <c r="K67" s="1263"/>
    </row>
    <row r="68" spans="1:11" ht="28.15" customHeight="1">
      <c r="A68" s="1306">
        <v>9</v>
      </c>
      <c r="B68" s="166" t="s">
        <v>1691</v>
      </c>
      <c r="C68" s="1140"/>
      <c r="D68" s="1141"/>
      <c r="E68" s="1142"/>
      <c r="F68" s="1307"/>
      <c r="G68" s="1307"/>
      <c r="H68" s="1307"/>
      <c r="I68" s="1307">
        <v>6</v>
      </c>
      <c r="J68" s="1311">
        <v>220</v>
      </c>
      <c r="K68" s="488"/>
    </row>
    <row r="69" spans="1:11" ht="28.15" customHeight="1">
      <c r="A69" s="1445" t="s">
        <v>1976</v>
      </c>
      <c r="B69" s="166" t="s">
        <v>1723</v>
      </c>
      <c r="C69" s="1140"/>
      <c r="D69" s="1141"/>
      <c r="E69" s="1142"/>
      <c r="F69" s="1307"/>
      <c r="G69" s="1307"/>
      <c r="H69" s="1307"/>
      <c r="I69" s="1307">
        <v>6</v>
      </c>
      <c r="J69" s="1331">
        <v>153</v>
      </c>
      <c r="K69" s="586"/>
    </row>
    <row r="70" spans="1:11" ht="28.15" customHeight="1">
      <c r="A70" s="1445" t="s">
        <v>1977</v>
      </c>
      <c r="B70" s="166" t="s">
        <v>1731</v>
      </c>
      <c r="C70" s="1263"/>
      <c r="D70" s="586"/>
      <c r="E70" s="13"/>
      <c r="F70" s="15"/>
      <c r="G70" s="1263"/>
      <c r="H70" s="1265"/>
      <c r="I70" s="1309">
        <v>3</v>
      </c>
      <c r="J70" s="1308">
        <v>150</v>
      </c>
      <c r="K70" s="1263"/>
    </row>
    <row r="71" spans="1:11" ht="28.15" customHeight="1">
      <c r="A71" s="1306">
        <v>12</v>
      </c>
      <c r="B71" s="166" t="s">
        <v>1712</v>
      </c>
      <c r="C71" s="1263"/>
      <c r="D71" s="586"/>
      <c r="E71" s="13"/>
      <c r="F71" s="15"/>
      <c r="G71" s="1263"/>
      <c r="H71" s="1265"/>
      <c r="I71" s="1309">
        <v>3</v>
      </c>
      <c r="J71" s="1308">
        <v>139</v>
      </c>
      <c r="K71" s="488"/>
    </row>
    <row r="72" spans="1:11" ht="28.15" customHeight="1">
      <c r="A72" s="1306">
        <v>13</v>
      </c>
      <c r="B72" s="166" t="s">
        <v>1722</v>
      </c>
      <c r="C72" s="1140"/>
      <c r="D72" s="1141"/>
      <c r="E72" s="1142"/>
      <c r="F72" s="1307"/>
      <c r="G72" s="1307"/>
      <c r="H72" s="1307"/>
      <c r="I72" s="1307">
        <v>6</v>
      </c>
      <c r="J72" s="1311">
        <v>71</v>
      </c>
      <c r="K72" s="488"/>
    </row>
    <row r="73" spans="1:11" ht="28.15" customHeight="1">
      <c r="A73" s="1263"/>
      <c r="B73" s="1264"/>
      <c r="C73" s="1263"/>
      <c r="D73" s="586"/>
      <c r="E73" s="13"/>
      <c r="F73" s="15"/>
      <c r="G73" s="1263"/>
      <c r="H73" s="1265"/>
      <c r="I73" s="13"/>
      <c r="J73" s="586"/>
      <c r="K73" s="586"/>
    </row>
    <row r="74" spans="1:11" ht="28.15" customHeight="1">
      <c r="A74" s="1263"/>
      <c r="B74" s="1264"/>
      <c r="C74" s="1263"/>
      <c r="D74" s="586"/>
      <c r="E74" s="13"/>
      <c r="F74" s="15"/>
      <c r="G74" s="1263"/>
      <c r="H74" s="1265"/>
      <c r="I74" s="13"/>
      <c r="J74" s="1263"/>
      <c r="K74" s="1263"/>
    </row>
    <row r="75" spans="1:11" ht="28.15" customHeight="1">
      <c r="A75" s="1263"/>
      <c r="B75" s="1264"/>
      <c r="C75" s="1263"/>
      <c r="D75" s="586"/>
      <c r="E75" s="13"/>
      <c r="F75" s="15"/>
      <c r="G75" s="1263"/>
      <c r="H75" s="1265"/>
      <c r="I75" s="13"/>
      <c r="J75" s="1263"/>
      <c r="K75" s="1263"/>
    </row>
    <row r="76" spans="1:11" ht="28.15" customHeight="1">
      <c r="A76" s="1263"/>
      <c r="B76" s="1264"/>
      <c r="C76" s="1263"/>
      <c r="D76" s="586"/>
      <c r="E76" s="13"/>
      <c r="F76" s="15"/>
      <c r="G76" s="1263"/>
      <c r="H76" s="1265"/>
      <c r="I76" s="13"/>
      <c r="J76" s="1263"/>
      <c r="K76" s="1263"/>
    </row>
    <row r="77" spans="1:11" ht="12.75" customHeight="1">
      <c r="A77" s="1263"/>
      <c r="B77" s="1264"/>
      <c r="C77" s="1263"/>
      <c r="D77" s="586"/>
      <c r="E77" s="13"/>
      <c r="F77" s="15"/>
      <c r="G77" s="1263"/>
      <c r="H77" s="1265"/>
      <c r="I77" s="13"/>
      <c r="J77" s="1263"/>
      <c r="K77" s="1263"/>
    </row>
    <row r="78" spans="1:11" ht="15" customHeight="1">
      <c r="A78" s="1263"/>
      <c r="B78" s="1264"/>
      <c r="C78" s="1263"/>
      <c r="D78" s="586"/>
      <c r="E78" s="13"/>
      <c r="F78" s="15"/>
      <c r="G78" s="1263"/>
      <c r="H78" s="1265"/>
      <c r="I78" s="13"/>
      <c r="J78" s="1263"/>
      <c r="K78" s="1263"/>
    </row>
    <row r="79" spans="1:11" ht="15" customHeight="1">
      <c r="A79" s="1263"/>
      <c r="B79" s="1264"/>
      <c r="C79" s="1263"/>
      <c r="D79" s="586"/>
      <c r="E79" s="13"/>
      <c r="F79" s="15"/>
      <c r="G79" s="1263"/>
      <c r="H79" s="1265"/>
      <c r="I79" s="13"/>
      <c r="J79" s="1263"/>
      <c r="K79" s="1263"/>
    </row>
    <row r="80" spans="1:11" ht="15" customHeight="1">
      <c r="A80" s="1263"/>
      <c r="B80" s="1264"/>
      <c r="C80" s="1263"/>
      <c r="D80" s="586"/>
      <c r="E80" s="13"/>
      <c r="F80" s="15"/>
      <c r="G80" s="1263"/>
      <c r="H80" s="1265"/>
      <c r="I80" s="13"/>
      <c r="J80" s="1263"/>
      <c r="K80" s="1263"/>
    </row>
    <row r="81" spans="1:11" ht="15" customHeight="1">
      <c r="A81" s="1263"/>
      <c r="B81" s="1264"/>
      <c r="C81" s="1263"/>
      <c r="D81" s="586"/>
      <c r="E81" s="13"/>
      <c r="F81" s="15"/>
      <c r="G81" s="1263"/>
      <c r="H81" s="1265"/>
      <c r="I81" s="13"/>
      <c r="J81" s="1263"/>
      <c r="K81" s="1263"/>
    </row>
    <row r="82" spans="1:11" ht="15" customHeight="1">
      <c r="A82" s="1263"/>
      <c r="B82" s="1264"/>
      <c r="C82" s="1263"/>
      <c r="D82" s="586"/>
      <c r="E82" s="13"/>
      <c r="F82" s="15"/>
      <c r="G82" s="1263"/>
      <c r="H82" s="1265"/>
      <c r="I82" s="13"/>
      <c r="J82" s="1263"/>
      <c r="K82" s="1263"/>
    </row>
    <row r="83" spans="1:11" ht="15" customHeight="1">
      <c r="A83" s="1263"/>
      <c r="B83" s="1264"/>
      <c r="C83" s="1263"/>
      <c r="D83" s="586"/>
      <c r="E83" s="13"/>
      <c r="F83" s="15"/>
      <c r="G83" s="1263"/>
      <c r="H83" s="1265"/>
      <c r="I83" s="13"/>
      <c r="J83" s="1263"/>
      <c r="K83" s="1263"/>
    </row>
    <row r="84" spans="1:11" ht="15" customHeight="1">
      <c r="A84" s="1263"/>
      <c r="B84" s="1264"/>
      <c r="C84" s="1263"/>
      <c r="D84" s="586"/>
      <c r="E84" s="13"/>
      <c r="F84" s="15"/>
      <c r="G84" s="1263"/>
      <c r="H84" s="1265"/>
      <c r="I84" s="13"/>
      <c r="J84" s="1263"/>
      <c r="K84" s="1263"/>
    </row>
    <row r="85" spans="1:11" ht="15" customHeight="1">
      <c r="A85" s="1263"/>
      <c r="B85" s="1264"/>
      <c r="C85" s="1263"/>
      <c r="D85" s="586"/>
      <c r="E85" s="13"/>
      <c r="F85" s="15"/>
      <c r="G85" s="1263"/>
      <c r="H85" s="1265"/>
      <c r="I85" s="13"/>
      <c r="J85" s="1263"/>
      <c r="K85" s="1263"/>
    </row>
    <row r="86" spans="1:11" ht="15" customHeight="1">
      <c r="A86" s="1263"/>
      <c r="B86" s="1264"/>
      <c r="C86" s="1263"/>
      <c r="D86" s="586"/>
      <c r="E86" s="13"/>
      <c r="F86" s="15"/>
      <c r="G86" s="1263"/>
      <c r="H86" s="1265"/>
      <c r="I86" s="13"/>
      <c r="J86" s="1263"/>
      <c r="K86" s="1263"/>
    </row>
    <row r="87" spans="1:11" ht="15" customHeight="1">
      <c r="A87" s="1263"/>
      <c r="B87" s="1264"/>
      <c r="C87" s="1263"/>
      <c r="D87" s="586"/>
      <c r="E87" s="13"/>
      <c r="F87" s="15"/>
      <c r="G87" s="1263"/>
      <c r="H87" s="1265"/>
      <c r="I87" s="13"/>
      <c r="J87" s="1263"/>
      <c r="K87" s="1263"/>
    </row>
    <row r="88" spans="1:11" ht="15" customHeight="1">
      <c r="A88" s="1263"/>
      <c r="B88" s="1264"/>
      <c r="C88" s="1263"/>
      <c r="D88" s="586"/>
      <c r="E88" s="13"/>
      <c r="F88" s="15"/>
      <c r="G88" s="1263"/>
      <c r="H88" s="1265"/>
      <c r="I88" s="13"/>
      <c r="J88" s="1263"/>
      <c r="K88" s="1263"/>
    </row>
    <row r="89" spans="1:11" ht="15" customHeight="1">
      <c r="A89" s="1263"/>
      <c r="B89" s="1264"/>
      <c r="C89" s="1263"/>
      <c r="D89" s="586"/>
      <c r="E89" s="13"/>
      <c r="F89" s="15"/>
      <c r="G89" s="1263"/>
      <c r="H89" s="1265"/>
      <c r="I89" s="13"/>
      <c r="J89" s="1141"/>
      <c r="K89" s="5"/>
    </row>
    <row r="90" spans="1:11">
      <c r="A90" s="1263"/>
      <c r="B90" s="1264"/>
      <c r="C90" s="1263"/>
      <c r="D90" s="586"/>
      <c r="E90" s="13"/>
      <c r="F90" s="15"/>
      <c r="G90" s="1263"/>
      <c r="H90" s="1265"/>
      <c r="I90" s="13"/>
      <c r="J90" s="1263"/>
      <c r="K90" s="1263"/>
    </row>
    <row r="91" spans="1:11" ht="11.25" customHeight="1">
      <c r="A91" s="1263"/>
      <c r="B91" s="1264"/>
      <c r="C91" s="1263"/>
      <c r="D91" s="586"/>
      <c r="E91" s="13"/>
      <c r="F91" s="15"/>
      <c r="G91" s="1263"/>
      <c r="H91" s="1265"/>
      <c r="I91" s="13"/>
      <c r="J91" s="1263"/>
      <c r="K91" s="1263"/>
    </row>
    <row r="92" spans="1:11" ht="11.25" customHeight="1">
      <c r="A92" s="1263"/>
      <c r="B92" s="1264"/>
      <c r="C92" s="1263"/>
      <c r="D92" s="586"/>
      <c r="E92" s="13"/>
      <c r="F92" s="15"/>
      <c r="G92" s="1263"/>
      <c r="H92" s="1265"/>
      <c r="I92" s="13"/>
      <c r="J92" s="1263"/>
      <c r="K92" s="1263"/>
    </row>
    <row r="93" spans="1:11" ht="11.25" customHeight="1">
      <c r="A93" s="1263"/>
      <c r="B93" s="1264"/>
      <c r="C93" s="1263"/>
      <c r="D93" s="586"/>
      <c r="E93" s="13"/>
      <c r="F93" s="15"/>
      <c r="G93" s="1263"/>
      <c r="H93" s="1265"/>
      <c r="I93" s="13"/>
      <c r="J93" s="1263"/>
      <c r="K93" s="1263"/>
    </row>
    <row r="94" spans="1:11" ht="45.75" customHeight="1">
      <c r="A94" s="1263"/>
      <c r="B94" s="1264"/>
      <c r="C94" s="1263"/>
      <c r="D94" s="586"/>
      <c r="E94" s="13"/>
      <c r="F94" s="15"/>
      <c r="G94" s="1263"/>
      <c r="H94" s="1265"/>
      <c r="I94" s="13"/>
      <c r="J94" s="1263"/>
      <c r="K94" s="1263"/>
    </row>
    <row r="95" spans="1:11" ht="21" customHeight="1">
      <c r="A95" s="1263"/>
      <c r="B95" s="1264"/>
      <c r="C95" s="1263"/>
      <c r="D95" s="586"/>
      <c r="E95" s="13"/>
      <c r="F95" s="15"/>
      <c r="G95" s="1263"/>
      <c r="H95" s="1265"/>
      <c r="I95" s="13"/>
      <c r="J95" s="1263"/>
      <c r="K95" s="1263"/>
    </row>
    <row r="96" spans="1:11" ht="25.5" customHeight="1">
      <c r="A96" s="1263"/>
      <c r="B96" s="1264"/>
      <c r="C96" s="1263"/>
      <c r="D96" s="586"/>
      <c r="E96" s="13"/>
      <c r="F96" s="15"/>
      <c r="G96" s="1263"/>
      <c r="H96" s="1265"/>
      <c r="I96" s="13"/>
      <c r="J96" s="1263"/>
      <c r="K96" s="1263"/>
    </row>
    <row r="97" spans="1:11" ht="16.5" customHeight="1">
      <c r="A97" s="1263"/>
      <c r="B97" s="1264"/>
      <c r="C97" s="364"/>
      <c r="D97" s="364"/>
      <c r="E97" s="13"/>
      <c r="F97" s="364"/>
      <c r="G97" s="364"/>
      <c r="H97" s="1265"/>
      <c r="I97" s="13"/>
      <c r="J97" s="1263"/>
      <c r="K97" s="1263"/>
    </row>
    <row r="98" spans="1:11" ht="17.25" customHeight="1">
      <c r="A98" s="1263"/>
      <c r="B98" s="1264"/>
      <c r="C98" s="364"/>
      <c r="D98" s="364"/>
      <c r="E98" s="13"/>
      <c r="F98" s="364"/>
      <c r="G98" s="364"/>
      <c r="H98" s="1265"/>
      <c r="I98" s="13"/>
      <c r="J98" s="1263"/>
      <c r="K98" s="1263"/>
    </row>
    <row r="99" spans="1:11" ht="21" customHeight="1">
      <c r="A99" s="1263"/>
      <c r="B99" s="1264"/>
      <c r="C99" s="1263"/>
      <c r="D99" s="586"/>
      <c r="E99" s="13"/>
      <c r="F99" s="15"/>
      <c r="G99" s="1263"/>
      <c r="H99" s="1265"/>
      <c r="I99" s="13"/>
      <c r="J99" s="1263"/>
      <c r="K99" s="1263"/>
    </row>
    <row r="100" spans="1:11" ht="12" customHeight="1">
      <c r="J100" s="1263"/>
      <c r="K100" s="1263"/>
    </row>
    <row r="101" spans="1:11" ht="14.25" customHeight="1">
      <c r="A101" s="1263"/>
      <c r="B101" s="1264"/>
      <c r="C101" s="1263"/>
      <c r="J101" s="1263"/>
      <c r="K101" s="1263"/>
    </row>
    <row r="102" spans="1:11" ht="14.25" customHeight="1">
      <c r="A102" s="1204"/>
      <c r="B102" s="1514"/>
      <c r="C102" s="1514"/>
      <c r="D102" s="1514"/>
      <c r="E102" s="13"/>
      <c r="F102" s="1266"/>
      <c r="G102" s="1267"/>
      <c r="H102" s="1265"/>
      <c r="I102" s="13"/>
      <c r="J102" s="586"/>
      <c r="K102" s="586"/>
    </row>
    <row r="103" spans="1:11" ht="14.25" customHeight="1">
      <c r="A103" s="6"/>
      <c r="B103" s="7"/>
      <c r="C103" s="1511"/>
      <c r="D103" s="1511"/>
      <c r="E103" s="1511"/>
      <c r="F103" s="1511"/>
      <c r="G103" s="1511"/>
      <c r="H103" s="1511"/>
      <c r="I103" s="1511"/>
      <c r="J103" s="1511"/>
      <c r="K103" s="1511"/>
    </row>
    <row r="104" spans="1:11" ht="14.25" customHeight="1">
      <c r="A104" s="6"/>
      <c r="B104" s="7"/>
      <c r="C104" s="1511"/>
      <c r="D104" s="1511"/>
      <c r="E104" s="1511"/>
      <c r="F104" s="1511"/>
      <c r="G104" s="1511"/>
      <c r="H104" s="1511"/>
      <c r="I104" s="1511"/>
      <c r="J104" s="1511"/>
      <c r="K104" s="1511"/>
    </row>
    <row r="105" spans="1:11" ht="14.25" customHeight="1">
      <c r="A105" s="6"/>
      <c r="B105" s="7"/>
      <c r="C105" s="1511"/>
      <c r="D105" s="1511"/>
      <c r="E105" s="1511"/>
      <c r="F105" s="1511"/>
      <c r="G105" s="1511"/>
      <c r="H105" s="1511"/>
      <c r="I105" s="1511"/>
      <c r="J105" s="1511"/>
      <c r="K105" s="1511"/>
    </row>
    <row r="106" spans="1:11" ht="14.25" customHeight="1">
      <c r="A106" s="1505"/>
      <c r="B106" s="1505"/>
      <c r="C106" s="1505"/>
      <c r="D106" s="1505"/>
      <c r="E106" s="1505"/>
      <c r="F106" s="1505"/>
      <c r="G106" s="1505"/>
      <c r="H106" s="1505"/>
      <c r="I106" s="1505"/>
      <c r="J106" s="1505"/>
      <c r="K106" s="1505"/>
    </row>
    <row r="107" spans="1:11" ht="14.25" customHeight="1">
      <c r="A107" s="1507"/>
      <c r="B107" s="1507"/>
      <c r="C107" s="1507"/>
      <c r="D107" s="1507"/>
      <c r="E107" s="1507"/>
      <c r="F107" s="1507"/>
      <c r="G107" s="1507"/>
      <c r="H107" s="1507"/>
      <c r="I107" s="1507"/>
      <c r="J107" s="1507"/>
      <c r="K107" s="1507"/>
    </row>
    <row r="108" spans="1:11" ht="14.25" customHeight="1">
      <c r="A108" s="13"/>
      <c r="B108" s="1142"/>
      <c r="C108" s="1140"/>
      <c r="D108" s="9"/>
      <c r="E108" s="1201"/>
      <c r="F108" s="1525"/>
      <c r="G108" s="1525"/>
      <c r="H108" s="1525"/>
      <c r="I108" s="1525"/>
      <c r="J108" s="1290"/>
    </row>
    <row r="109" spans="1:11" ht="14.25" customHeight="1">
      <c r="A109" s="1526"/>
      <c r="B109" s="1526"/>
      <c r="C109" s="1526"/>
      <c r="D109" s="1526"/>
      <c r="E109" s="1526"/>
      <c r="F109" s="1526"/>
      <c r="G109" s="1526"/>
      <c r="H109" s="1526"/>
      <c r="I109" s="1526"/>
      <c r="J109" s="1526"/>
      <c r="K109" s="1526"/>
    </row>
    <row r="110" spans="1:11" ht="14.25" customHeight="1">
      <c r="A110" s="1519"/>
      <c r="B110" s="1519"/>
      <c r="C110" s="1519"/>
      <c r="D110" s="1519"/>
      <c r="E110" s="1519"/>
      <c r="F110" s="1519"/>
      <c r="G110" s="1519"/>
      <c r="H110" s="1519"/>
      <c r="I110" s="1519"/>
      <c r="J110" s="1519"/>
      <c r="K110" s="1519"/>
    </row>
    <row r="111" spans="1:11" ht="14.25" customHeight="1">
      <c r="A111" s="1527"/>
      <c r="B111" s="1529"/>
      <c r="C111" s="1515"/>
      <c r="D111" s="1531"/>
      <c r="E111" s="1529"/>
      <c r="F111" s="1515"/>
      <c r="G111" s="1531"/>
      <c r="H111" s="1533"/>
      <c r="I111" s="1534"/>
      <c r="J111" s="1535"/>
      <c r="K111" s="1515"/>
    </row>
    <row r="112" spans="1:11" ht="14.25" customHeight="1">
      <c r="A112" s="1528"/>
      <c r="B112" s="1530"/>
      <c r="C112" s="1516"/>
      <c r="D112" s="1532"/>
      <c r="E112" s="1530"/>
      <c r="F112" s="1516"/>
      <c r="G112" s="1532"/>
      <c r="H112" s="1291"/>
      <c r="I112" s="1291"/>
      <c r="J112" s="1536"/>
      <c r="K112" s="1516"/>
    </row>
    <row r="113" spans="1:11" ht="14.25" customHeight="1"/>
    <row r="114" spans="1:11" ht="14.25" customHeight="1">
      <c r="A114" s="1210"/>
      <c r="B114" s="1210"/>
      <c r="C114" s="1171"/>
      <c r="D114" s="1171"/>
      <c r="E114" s="1172"/>
      <c r="F114" s="1171"/>
      <c r="G114" s="524"/>
      <c r="H114" s="537"/>
      <c r="I114" s="529"/>
    </row>
    <row r="115" spans="1:11" ht="14.25" customHeight="1">
      <c r="A115" s="1210"/>
      <c r="B115" s="1210"/>
      <c r="C115" s="1171"/>
      <c r="D115" s="1171"/>
      <c r="E115" s="1172"/>
      <c r="F115" s="1171"/>
      <c r="G115" s="524"/>
      <c r="H115" s="537"/>
      <c r="I115" s="529"/>
    </row>
    <row r="116" spans="1:11" ht="14.25" customHeight="1">
      <c r="A116" s="1130"/>
      <c r="B116" s="1207"/>
      <c r="C116" s="1205"/>
      <c r="D116" s="1204"/>
      <c r="E116" s="1206"/>
      <c r="F116" s="1205"/>
      <c r="G116" s="766"/>
      <c r="H116" s="1160"/>
      <c r="I116" s="1138"/>
      <c r="J116" s="747"/>
      <c r="K116" s="765"/>
    </row>
    <row r="117" spans="1:11" ht="14.25" customHeight="1">
      <c r="A117" s="1130"/>
      <c r="B117" s="1207"/>
      <c r="C117" s="1167"/>
      <c r="D117" s="1155"/>
      <c r="E117" s="1194"/>
      <c r="F117" s="1195"/>
      <c r="G117" s="766"/>
      <c r="H117" s="1163"/>
      <c r="I117" s="1138"/>
      <c r="J117" s="747"/>
      <c r="K117" s="765"/>
    </row>
    <row r="118" spans="1:11" ht="14.25" customHeight="1">
      <c r="A118" s="1130"/>
      <c r="B118" s="1168"/>
      <c r="C118" s="1205"/>
      <c r="D118" s="1204"/>
      <c r="E118" s="1206"/>
      <c r="F118" s="1205"/>
      <c r="G118" s="766"/>
      <c r="H118" s="1160"/>
      <c r="I118" s="1138"/>
      <c r="J118" s="747"/>
      <c r="K118" s="1160"/>
    </row>
    <row r="119" spans="1:11" ht="14.25" customHeight="1">
      <c r="A119" s="1130"/>
      <c r="B119" s="1207"/>
      <c r="C119" s="1205"/>
      <c r="D119" s="1204"/>
      <c r="E119" s="1206"/>
      <c r="F119" s="1205"/>
      <c r="G119" s="766"/>
      <c r="H119" s="1160"/>
      <c r="I119" s="1138"/>
      <c r="J119" s="747"/>
      <c r="K119" s="765"/>
    </row>
    <row r="120" spans="1:11" ht="14.25" customHeight="1">
      <c r="A120" s="1130"/>
      <c r="B120" s="1207"/>
      <c r="C120" s="1205"/>
      <c r="D120" s="1204"/>
      <c r="E120" s="1206"/>
      <c r="F120" s="1205"/>
      <c r="G120" s="766"/>
      <c r="H120" s="1160"/>
      <c r="I120" s="1138"/>
      <c r="J120" s="747"/>
      <c r="K120" s="1160"/>
    </row>
    <row r="121" spans="1:11" ht="14.25" customHeight="1">
      <c r="A121" s="1130"/>
      <c r="B121" s="1207"/>
      <c r="C121" s="1205"/>
      <c r="D121" s="1204"/>
      <c r="E121" s="1206"/>
      <c r="F121" s="1205"/>
      <c r="G121" s="766"/>
      <c r="H121" s="1160"/>
      <c r="I121" s="1138"/>
      <c r="J121" s="747"/>
      <c r="K121" s="1160"/>
    </row>
    <row r="122" spans="1:11" ht="14.25" customHeight="1">
      <c r="A122" s="1130"/>
      <c r="B122" s="1207"/>
      <c r="C122" s="1205"/>
      <c r="D122" s="1204"/>
      <c r="E122" s="1206"/>
      <c r="F122" s="1205"/>
      <c r="G122" s="766"/>
      <c r="H122" s="1160"/>
      <c r="I122" s="1138"/>
      <c r="J122" s="747"/>
      <c r="K122" s="1160"/>
    </row>
    <row r="123" spans="1:11" ht="14.25" customHeight="1">
      <c r="A123" s="1130"/>
      <c r="B123" s="1207"/>
      <c r="C123" s="1173"/>
      <c r="D123" s="1174"/>
      <c r="E123" s="1206"/>
      <c r="F123" s="1175"/>
      <c r="G123" s="766"/>
      <c r="H123" s="1176"/>
      <c r="I123" s="1138"/>
      <c r="J123" s="747"/>
      <c r="K123" s="1160"/>
    </row>
    <row r="124" spans="1:11" ht="14.25" customHeight="1">
      <c r="A124" s="1130"/>
      <c r="B124" s="1207"/>
      <c r="C124" s="1205"/>
      <c r="D124" s="1204"/>
      <c r="E124" s="1206"/>
      <c r="F124" s="1205"/>
      <c r="G124" s="766"/>
      <c r="H124" s="1160"/>
      <c r="I124" s="1138"/>
      <c r="J124" s="1270"/>
      <c r="K124" s="1160"/>
    </row>
    <row r="125" spans="1:11" ht="14.25" customHeight="1">
      <c r="A125" s="1130"/>
      <c r="B125" s="1207"/>
      <c r="C125" s="1205"/>
      <c r="D125" s="1204"/>
      <c r="E125" s="1206"/>
      <c r="F125" s="1205"/>
      <c r="G125" s="766"/>
      <c r="H125" s="1160"/>
      <c r="J125" s="1270"/>
      <c r="K125" s="1160"/>
    </row>
    <row r="126" spans="1:11" ht="14.25" customHeight="1">
      <c r="A126" s="1130"/>
      <c r="B126" s="1207"/>
      <c r="C126" s="524"/>
      <c r="D126" s="525"/>
      <c r="E126" s="526"/>
      <c r="F126" s="524"/>
      <c r="G126" s="524"/>
      <c r="H126" s="1160"/>
      <c r="J126" s="1270"/>
      <c r="K126" s="1196"/>
    </row>
    <row r="127" spans="1:11" ht="14.25" customHeight="1">
      <c r="A127" s="1130"/>
      <c r="B127" s="1197"/>
      <c r="C127" s="767"/>
      <c r="D127" s="1204"/>
      <c r="E127" s="1203"/>
      <c r="F127" s="766"/>
      <c r="G127" s="766"/>
      <c r="H127" s="1160"/>
      <c r="I127" s="1138"/>
      <c r="J127" s="747"/>
      <c r="K127" s="1137"/>
    </row>
    <row r="128" spans="1:11" ht="14.25" customHeight="1">
      <c r="A128" s="1130"/>
      <c r="B128" s="1177"/>
      <c r="C128" s="1157"/>
      <c r="D128" s="1155"/>
      <c r="E128" s="1206"/>
      <c r="F128" s="1289"/>
      <c r="G128" s="766"/>
      <c r="H128" s="1160"/>
      <c r="I128" s="1138"/>
      <c r="J128" s="747"/>
      <c r="K128" s="765"/>
    </row>
    <row r="129" spans="1:11" ht="14.25" customHeight="1">
      <c r="A129" s="1130"/>
      <c r="B129" s="1202"/>
      <c r="C129" s="1205"/>
      <c r="D129" s="1155"/>
      <c r="E129" s="1206"/>
      <c r="F129" s="766"/>
      <c r="G129" s="766"/>
      <c r="H129" s="1160"/>
      <c r="I129" s="1138"/>
      <c r="J129" s="747"/>
      <c r="K129" s="1160"/>
    </row>
    <row r="130" spans="1:11" ht="14.25" customHeight="1">
      <c r="A130" s="1130"/>
      <c r="B130" s="1201"/>
      <c r="C130" s="1173"/>
      <c r="D130" s="1176"/>
      <c r="E130" s="1174"/>
      <c r="F130" s="1157"/>
      <c r="G130" s="766"/>
      <c r="H130" s="1176"/>
      <c r="I130" s="1138"/>
      <c r="J130" s="747"/>
      <c r="K130" s="765"/>
    </row>
    <row r="131" spans="1:11" ht="14.25" customHeight="1">
      <c r="A131" s="1130"/>
      <c r="B131" s="1207"/>
      <c r="C131" s="1205"/>
      <c r="D131" s="1204"/>
      <c r="E131" s="1206"/>
      <c r="F131" s="1289"/>
      <c r="G131" s="766"/>
      <c r="H131" s="1160"/>
      <c r="I131" s="1138"/>
      <c r="J131" s="747"/>
      <c r="K131" s="765"/>
    </row>
    <row r="132" spans="1:11" ht="14.25" customHeight="1">
      <c r="A132" s="1130"/>
      <c r="B132" s="1201"/>
      <c r="C132" s="1173"/>
      <c r="D132" s="1176"/>
      <c r="E132" s="1174"/>
      <c r="F132" s="1157"/>
      <c r="G132" s="766"/>
      <c r="H132" s="1176"/>
      <c r="I132" s="1138"/>
      <c r="J132" s="747"/>
      <c r="K132" s="765"/>
    </row>
    <row r="133" spans="1:11" ht="14.25" customHeight="1">
      <c r="A133" s="1130"/>
      <c r="B133" s="1207"/>
      <c r="C133" s="1205"/>
      <c r="D133" s="1204"/>
      <c r="E133" s="1206"/>
      <c r="F133" s="1289"/>
      <c r="G133" s="766"/>
      <c r="H133" s="1160"/>
      <c r="I133" s="1138"/>
      <c r="J133" s="747"/>
      <c r="K133" s="765"/>
    </row>
    <row r="134" spans="1:11" ht="14.25" customHeight="1">
      <c r="A134" s="1130"/>
      <c r="B134" s="1177"/>
      <c r="C134" s="1205"/>
      <c r="D134" s="1204"/>
      <c r="E134" s="1206"/>
      <c r="F134" s="1289"/>
      <c r="G134" s="766"/>
      <c r="H134" s="1160"/>
      <c r="I134" s="1138"/>
      <c r="J134" s="747"/>
      <c r="K134" s="765"/>
    </row>
    <row r="135" spans="1:11" ht="14.25" customHeight="1">
      <c r="A135" s="1130"/>
      <c r="B135" s="1178"/>
      <c r="C135" s="1173"/>
      <c r="D135" s="1176"/>
      <c r="E135" s="1174"/>
      <c r="F135" s="1157"/>
      <c r="G135" s="766"/>
      <c r="H135" s="1176"/>
      <c r="I135" s="1138"/>
      <c r="J135" s="747"/>
      <c r="K135" s="765"/>
    </row>
    <row r="136" spans="1:11" ht="14.25" customHeight="1">
      <c r="A136" s="1130"/>
      <c r="B136" s="1178"/>
      <c r="C136" s="1173"/>
      <c r="D136" s="1176"/>
      <c r="E136" s="1174"/>
      <c r="F136" s="1157"/>
      <c r="G136" s="766"/>
      <c r="H136" s="1176"/>
      <c r="I136" s="1138"/>
      <c r="J136" s="747"/>
      <c r="K136" s="1160"/>
    </row>
    <row r="137" spans="1:11" ht="14.25" customHeight="1">
      <c r="A137" s="1130"/>
      <c r="B137" s="1207"/>
      <c r="C137" s="1205"/>
      <c r="D137" s="1204"/>
      <c r="E137" s="1206"/>
      <c r="F137" s="1289"/>
      <c r="G137" s="766"/>
      <c r="H137" s="1160"/>
      <c r="I137" s="1138"/>
      <c r="J137" s="747"/>
      <c r="K137" s="1160"/>
    </row>
    <row r="138" spans="1:11" ht="14.25" customHeight="1">
      <c r="A138" s="1130"/>
      <c r="B138" s="1207"/>
      <c r="C138" s="1205"/>
      <c r="D138" s="1204"/>
      <c r="E138" s="1207"/>
      <c r="F138" s="1289"/>
      <c r="G138" s="766"/>
      <c r="H138" s="1160"/>
      <c r="I138" s="1138"/>
      <c r="J138" s="747"/>
      <c r="K138" s="1160"/>
    </row>
    <row r="139" spans="1:11" ht="14.25" customHeight="1">
      <c r="A139" s="1130"/>
      <c r="B139" s="1207"/>
      <c r="C139" s="1205"/>
      <c r="D139" s="1205"/>
      <c r="E139" s="1206"/>
      <c r="F139" s="1289"/>
      <c r="G139" s="766"/>
      <c r="H139" s="1160"/>
      <c r="I139" s="1138"/>
      <c r="J139" s="747"/>
      <c r="K139" s="765"/>
    </row>
    <row r="140" spans="1:11" ht="14.25" customHeight="1">
      <c r="A140" s="1130"/>
      <c r="B140" s="1207"/>
      <c r="C140" s="1205"/>
      <c r="D140" s="1205"/>
      <c r="E140" s="1206"/>
      <c r="F140" s="1289"/>
      <c r="G140" s="766"/>
      <c r="H140" s="1163"/>
      <c r="I140" s="1138"/>
      <c r="J140" s="747"/>
      <c r="K140" s="765"/>
    </row>
    <row r="141" spans="1:11" ht="14.25" customHeight="1">
      <c r="A141" s="1130"/>
      <c r="B141" s="1177"/>
      <c r="C141" s="1205"/>
      <c r="D141" s="1204"/>
      <c r="E141" s="1206"/>
      <c r="F141" s="1289"/>
      <c r="G141" s="766"/>
      <c r="H141" s="1160"/>
      <c r="I141" s="1138"/>
      <c r="J141" s="747"/>
      <c r="K141" s="765"/>
    </row>
    <row r="142" spans="1:11" ht="14.25" customHeight="1">
      <c r="A142" s="1130"/>
      <c r="B142" s="1178"/>
      <c r="C142" s="1173"/>
      <c r="D142" s="1173"/>
      <c r="E142" s="1174"/>
      <c r="F142" s="1157"/>
      <c r="G142" s="766"/>
      <c r="H142" s="1176"/>
      <c r="I142" s="1138"/>
      <c r="J142" s="747"/>
      <c r="K142" s="1160"/>
    </row>
    <row r="143" spans="1:11" ht="14.25" customHeight="1">
      <c r="A143" s="1130"/>
      <c r="B143" s="1202"/>
      <c r="C143" s="1205"/>
      <c r="D143" s="1205"/>
      <c r="E143" s="1206"/>
      <c r="F143" s="1289"/>
      <c r="G143" s="1179"/>
      <c r="H143" s="1160"/>
      <c r="I143" s="1138"/>
      <c r="J143" s="747"/>
      <c r="K143" s="1160"/>
    </row>
    <row r="144" spans="1:11" ht="14.25" customHeight="1">
      <c r="A144" s="57"/>
      <c r="B144" s="535"/>
      <c r="C144" s="524"/>
      <c r="D144" s="542"/>
      <c r="E144" s="542"/>
      <c r="F144" s="542"/>
      <c r="G144" s="542"/>
      <c r="H144" s="1164"/>
      <c r="I144" s="1138"/>
      <c r="J144" s="1270"/>
      <c r="K144" s="1196"/>
    </row>
    <row r="145" spans="1:11" ht="14.25" customHeight="1">
      <c r="A145" s="1130"/>
      <c r="B145" s="1207"/>
      <c r="C145" s="1517"/>
      <c r="D145" s="1517"/>
      <c r="E145" s="1206"/>
      <c r="F145" s="1289"/>
      <c r="G145" s="766"/>
      <c r="H145" s="1160"/>
      <c r="I145" s="1138"/>
      <c r="J145" s="747"/>
      <c r="K145" s="1170"/>
    </row>
    <row r="146" spans="1:11" ht="14.25" customHeight="1">
      <c r="A146" s="1130"/>
      <c r="B146" s="1207"/>
      <c r="C146" s="1205"/>
      <c r="D146" s="1204"/>
      <c r="E146" s="1206"/>
      <c r="F146" s="1289"/>
      <c r="G146" s="766"/>
      <c r="H146" s="1160"/>
      <c r="I146" s="1138"/>
      <c r="J146" s="747"/>
      <c r="K146" s="765"/>
    </row>
    <row r="147" spans="1:11" ht="14.25" customHeight="1">
      <c r="A147" s="1130"/>
      <c r="B147" s="1207"/>
      <c r="C147" s="1205"/>
      <c r="D147" s="1204"/>
      <c r="E147" s="1206"/>
      <c r="F147" s="1289"/>
      <c r="G147" s="766"/>
      <c r="H147" s="1160"/>
      <c r="I147" s="1138"/>
      <c r="J147" s="747"/>
      <c r="K147" s="765"/>
    </row>
    <row r="148" spans="1:11" ht="14.25" customHeight="1">
      <c r="A148" s="1130"/>
      <c r="B148" s="1207"/>
      <c r="C148" s="1205"/>
      <c r="D148" s="1204"/>
      <c r="E148" s="1206"/>
      <c r="F148" s="1289"/>
      <c r="G148" s="766"/>
      <c r="H148" s="1160"/>
      <c r="I148" s="1138"/>
      <c r="J148" s="747"/>
      <c r="K148" s="765"/>
    </row>
    <row r="149" spans="1:11" ht="14.25" customHeight="1">
      <c r="A149" s="1130"/>
      <c r="B149" s="1178"/>
      <c r="C149" s="1173"/>
      <c r="D149" s="1174"/>
      <c r="E149" s="1174"/>
      <c r="F149" s="1175"/>
      <c r="G149" s="766"/>
      <c r="H149" s="1176"/>
      <c r="I149" s="1138"/>
      <c r="J149" s="747"/>
      <c r="K149" s="765"/>
    </row>
    <row r="150" spans="1:11" ht="14.25" customHeight="1">
      <c r="A150" s="1130"/>
      <c r="B150" s="1184"/>
      <c r="C150" s="1181"/>
      <c r="D150" s="1181"/>
      <c r="E150" s="1182"/>
      <c r="F150" s="1183"/>
      <c r="G150" s="766"/>
      <c r="H150" s="1186"/>
      <c r="I150" s="1138"/>
      <c r="J150" s="747"/>
      <c r="K150" s="765"/>
    </row>
    <row r="151" spans="1:11" ht="14.25" customHeight="1">
      <c r="A151" s="1130"/>
      <c r="B151" s="1207"/>
      <c r="C151" s="1205"/>
      <c r="D151" s="1204"/>
      <c r="E151" s="1206"/>
      <c r="F151" s="1289"/>
      <c r="G151" s="766"/>
      <c r="H151" s="1160"/>
      <c r="I151" s="1138"/>
      <c r="J151" s="747"/>
      <c r="K151" s="765"/>
    </row>
    <row r="152" spans="1:11" ht="14.25" customHeight="1">
      <c r="A152" s="1130"/>
      <c r="B152" s="1207"/>
      <c r="C152" s="1205"/>
      <c r="D152" s="1204"/>
      <c r="E152" s="1206"/>
      <c r="F152" s="1289"/>
      <c r="G152" s="766"/>
      <c r="H152" s="1160"/>
      <c r="I152" s="1138"/>
      <c r="J152" s="747"/>
      <c r="K152" s="765"/>
    </row>
    <row r="153" spans="1:11" ht="14.25" customHeight="1">
      <c r="A153" s="1130"/>
      <c r="B153" s="1184"/>
      <c r="C153" s="1181"/>
      <c r="D153" s="1181"/>
      <c r="E153" s="1182"/>
      <c r="F153" s="1183"/>
      <c r="G153" s="766"/>
      <c r="H153" s="1186"/>
      <c r="I153" s="1138"/>
      <c r="J153" s="747"/>
      <c r="K153" s="765"/>
    </row>
    <row r="154" spans="1:11" ht="14.25" customHeight="1">
      <c r="A154" s="1130"/>
      <c r="B154" s="1207"/>
      <c r="C154" s="1205"/>
      <c r="D154" s="1204"/>
      <c r="E154" s="1206"/>
      <c r="F154" s="1289"/>
      <c r="G154" s="766"/>
      <c r="H154" s="1160"/>
      <c r="I154" s="1138"/>
      <c r="J154" s="747"/>
      <c r="K154" s="765"/>
    </row>
    <row r="155" spans="1:11" ht="14.25" customHeight="1">
      <c r="A155" s="1130"/>
      <c r="B155" s="1207"/>
      <c r="C155" s="1205"/>
      <c r="D155" s="1204"/>
      <c r="E155" s="1206"/>
      <c r="F155" s="1289"/>
      <c r="G155" s="766"/>
      <c r="H155" s="1160"/>
      <c r="I155" s="1138"/>
      <c r="J155" s="747"/>
      <c r="K155" s="765"/>
    </row>
    <row r="156" spans="1:11">
      <c r="A156" s="1130"/>
      <c r="B156" s="1207"/>
      <c r="C156" s="1205"/>
      <c r="D156" s="1204"/>
      <c r="E156" s="1206"/>
      <c r="F156" s="1289"/>
      <c r="G156" s="766"/>
      <c r="H156" s="1160"/>
      <c r="I156" s="1138"/>
      <c r="J156" s="747"/>
      <c r="K156" s="765"/>
    </row>
    <row r="157" spans="1:11">
      <c r="A157" s="1130"/>
      <c r="B157" s="1207"/>
      <c r="C157" s="1205"/>
      <c r="D157" s="1204"/>
      <c r="E157" s="1206"/>
      <c r="F157" s="1289"/>
      <c r="G157" s="766"/>
      <c r="H157" s="1160"/>
      <c r="I157" s="1138"/>
      <c r="J157" s="747"/>
      <c r="K157" s="765"/>
    </row>
    <row r="158" spans="1:11">
      <c r="A158" s="1130"/>
      <c r="B158" s="1178"/>
      <c r="C158" s="1173"/>
      <c r="D158" s="1174"/>
      <c r="E158" s="1174"/>
      <c r="F158" s="1175"/>
      <c r="G158" s="766"/>
      <c r="H158" s="1176"/>
      <c r="I158" s="1138"/>
      <c r="J158" s="747"/>
      <c r="K158" s="765"/>
    </row>
    <row r="159" spans="1:11">
      <c r="A159" s="1130"/>
      <c r="B159" s="1207"/>
      <c r="C159" s="1205"/>
      <c r="D159" s="1204"/>
      <c r="E159" s="1206"/>
      <c r="F159" s="1289"/>
      <c r="G159" s="766"/>
      <c r="H159" s="1160"/>
      <c r="I159" s="1138"/>
      <c r="J159" s="747"/>
      <c r="K159" s="765"/>
    </row>
    <row r="160" spans="1:11">
      <c r="A160" s="1130"/>
      <c r="B160" s="1207"/>
      <c r="C160" s="1173"/>
      <c r="D160" s="1174"/>
      <c r="E160" s="1174"/>
      <c r="F160" s="1175"/>
      <c r="G160" s="766"/>
      <c r="H160" s="1176"/>
      <c r="I160" s="1138"/>
      <c r="J160" s="747"/>
      <c r="K160" s="765"/>
    </row>
    <row r="161" spans="1:11">
      <c r="A161" s="1130"/>
      <c r="B161" s="1207"/>
      <c r="C161" s="1205"/>
      <c r="D161" s="1204"/>
      <c r="E161" s="1206"/>
      <c r="F161" s="1289"/>
      <c r="G161" s="766"/>
      <c r="H161" s="1160"/>
      <c r="I161" s="1138"/>
      <c r="J161" s="747"/>
      <c r="K161" s="765"/>
    </row>
    <row r="162" spans="1:11">
      <c r="A162" s="1130"/>
      <c r="B162" s="1207"/>
      <c r="C162" s="1205"/>
      <c r="D162" s="1204"/>
      <c r="E162" s="1206"/>
      <c r="F162" s="1289"/>
      <c r="G162" s="766"/>
      <c r="H162" s="1160"/>
      <c r="I162" s="1138"/>
      <c r="J162" s="747"/>
      <c r="K162" s="765"/>
    </row>
    <row r="163" spans="1:11">
      <c r="A163" s="1130"/>
      <c r="B163" s="1207"/>
      <c r="C163" s="1173"/>
      <c r="D163" s="1174"/>
      <c r="E163" s="1174"/>
      <c r="F163" s="1175"/>
      <c r="G163" s="766"/>
      <c r="H163" s="1176"/>
      <c r="I163" s="1138"/>
      <c r="J163" s="747"/>
      <c r="K163" s="765"/>
    </row>
    <row r="164" spans="1:11">
      <c r="A164" s="1130"/>
      <c r="B164" s="1207"/>
      <c r="C164" s="1205"/>
      <c r="D164" s="1204"/>
      <c r="E164" s="1206"/>
      <c r="F164" s="1289"/>
      <c r="G164" s="766"/>
      <c r="H164" s="1160"/>
      <c r="I164" s="1138"/>
      <c r="J164" s="747"/>
      <c r="K164" s="765"/>
    </row>
    <row r="165" spans="1:11">
      <c r="A165" s="1130"/>
      <c r="B165" s="1207"/>
      <c r="C165" s="1205"/>
      <c r="D165" s="1204"/>
      <c r="E165" s="1206"/>
      <c r="F165" s="1289"/>
      <c r="G165" s="766"/>
      <c r="H165" s="1160"/>
      <c r="I165" s="1138"/>
      <c r="J165" s="747"/>
      <c r="K165" s="765"/>
    </row>
    <row r="166" spans="1:11">
      <c r="A166" s="1130"/>
      <c r="B166" s="1207"/>
      <c r="C166" s="1205"/>
      <c r="D166" s="1204"/>
      <c r="E166" s="1206"/>
      <c r="F166" s="1289"/>
      <c r="G166" s="766"/>
      <c r="H166" s="1160"/>
      <c r="I166" s="1138"/>
      <c r="J166" s="747"/>
      <c r="K166" s="765"/>
    </row>
    <row r="167" spans="1:11">
      <c r="A167" s="1130"/>
      <c r="B167" s="1207"/>
      <c r="C167" s="1205"/>
      <c r="D167" s="1204"/>
      <c r="E167" s="1206"/>
      <c r="F167" s="1289"/>
      <c r="G167" s="766"/>
      <c r="H167" s="1160"/>
      <c r="I167" s="1138"/>
      <c r="J167" s="1270"/>
      <c r="K167" s="1170"/>
    </row>
    <row r="168" spans="1:11">
      <c r="A168" s="57"/>
      <c r="B168" s="49"/>
      <c r="C168" s="1131"/>
      <c r="D168" s="1131"/>
      <c r="E168" s="1136"/>
      <c r="F168" s="1131"/>
      <c r="G168" s="1131"/>
      <c r="H168" s="1133"/>
      <c r="I168" s="1138"/>
      <c r="J168" s="1196"/>
      <c r="K168" s="405"/>
    </row>
    <row r="169" spans="1:11">
      <c r="A169" s="57"/>
      <c r="B169" s="535"/>
      <c r="C169" s="524"/>
      <c r="D169" s="542"/>
      <c r="E169" s="542"/>
      <c r="F169" s="542"/>
      <c r="G169" s="542"/>
      <c r="H169" s="1164"/>
      <c r="I169" s="1138"/>
      <c r="J169" s="1196"/>
      <c r="K169" s="1164"/>
    </row>
    <row r="170" spans="1:11">
      <c r="A170" s="1130"/>
      <c r="B170" s="1207"/>
      <c r="C170" s="1205"/>
      <c r="D170" s="1204"/>
      <c r="E170" s="1203"/>
      <c r="F170" s="1289"/>
      <c r="G170" s="766"/>
      <c r="H170" s="1160"/>
      <c r="I170" s="1138"/>
      <c r="J170" s="747"/>
      <c r="K170" s="1196"/>
    </row>
    <row r="171" spans="1:11">
      <c r="A171" s="1130"/>
      <c r="B171" s="1202"/>
      <c r="C171" s="1205"/>
      <c r="D171" s="1204"/>
      <c r="E171" s="1206"/>
      <c r="F171" s="1289"/>
      <c r="G171" s="1192"/>
      <c r="H171" s="1160"/>
      <c r="I171" s="1138"/>
      <c r="J171" s="747"/>
      <c r="K171" s="765"/>
    </row>
    <row r="172" spans="1:11">
      <c r="A172" s="1130"/>
      <c r="B172" s="1207"/>
      <c r="C172" s="1205"/>
      <c r="D172" s="1204"/>
      <c r="E172" s="1206"/>
      <c r="F172" s="1289"/>
      <c r="G172" s="1192"/>
      <c r="H172" s="1160"/>
      <c r="I172" s="1138"/>
      <c r="J172" s="747"/>
      <c r="K172" s="765"/>
    </row>
    <row r="173" spans="1:11">
      <c r="A173" s="1130"/>
      <c r="B173" s="1207"/>
      <c r="C173" s="1167"/>
      <c r="D173" s="1194"/>
      <c r="E173" s="1194"/>
      <c r="F173" s="1190"/>
      <c r="G173" s="1192"/>
      <c r="H173" s="1163"/>
      <c r="I173" s="1138"/>
      <c r="J173" s="747"/>
      <c r="K173" s="765"/>
    </row>
    <row r="174" spans="1:11">
      <c r="A174" s="1130"/>
      <c r="B174" s="1207"/>
      <c r="C174" s="1205"/>
      <c r="D174" s="1204"/>
      <c r="E174" s="1206"/>
      <c r="F174" s="1289"/>
      <c r="G174" s="1192"/>
      <c r="H174" s="1160"/>
      <c r="I174" s="1138"/>
      <c r="J174" s="747"/>
      <c r="K174" s="765"/>
    </row>
    <row r="175" spans="1:11">
      <c r="A175" s="1130"/>
      <c r="B175" s="1207"/>
      <c r="C175" s="1205"/>
      <c r="D175" s="1204"/>
      <c r="E175" s="1206"/>
      <c r="F175" s="1289"/>
      <c r="G175" s="1192"/>
      <c r="H175" s="1160"/>
      <c r="I175" s="1138"/>
      <c r="J175" s="747"/>
      <c r="K175" s="765"/>
    </row>
    <row r="176" spans="1:11">
      <c r="A176" s="1130"/>
      <c r="B176" s="1207"/>
      <c r="C176" s="1167"/>
      <c r="D176" s="1194"/>
      <c r="E176" s="1194"/>
      <c r="F176" s="1190"/>
      <c r="G176" s="1192"/>
      <c r="H176" s="1163"/>
      <c r="I176" s="1138"/>
      <c r="J176" s="747"/>
      <c r="K176" s="1203"/>
    </row>
    <row r="177" spans="1:11">
      <c r="A177" s="1130"/>
      <c r="B177" s="1207"/>
      <c r="C177" s="1205"/>
      <c r="D177" s="1204"/>
      <c r="E177" s="1206"/>
      <c r="F177" s="1289"/>
      <c r="G177" s="1192"/>
      <c r="H177" s="1160"/>
      <c r="I177" s="1138"/>
      <c r="J177" s="747"/>
      <c r="K177" s="1203"/>
    </row>
    <row r="178" spans="1:11">
      <c r="A178" s="1130"/>
      <c r="B178" s="1202"/>
      <c r="C178" s="1205"/>
      <c r="D178" s="1204"/>
      <c r="E178" s="1206"/>
      <c r="F178" s="23"/>
      <c r="G178" s="1192"/>
      <c r="H178" s="1160"/>
      <c r="I178" s="1138"/>
      <c r="J178" s="747"/>
      <c r="K178" s="1203"/>
    </row>
    <row r="179" spans="1:11">
      <c r="A179" s="1130"/>
      <c r="B179" s="1207"/>
      <c r="C179" s="1205"/>
      <c r="D179" s="1204"/>
      <c r="E179" s="1206"/>
      <c r="F179" s="1289"/>
      <c r="G179" s="1192"/>
      <c r="H179" s="1160"/>
      <c r="I179" s="1138"/>
      <c r="J179" s="747"/>
      <c r="K179" s="1203"/>
    </row>
    <row r="180" spans="1:11">
      <c r="A180" s="1130"/>
      <c r="B180" s="1168"/>
      <c r="C180" s="1205"/>
      <c r="D180" s="1204"/>
      <c r="E180" s="1206"/>
      <c r="F180" s="1289"/>
      <c r="G180" s="1192"/>
      <c r="H180" s="1160"/>
      <c r="I180" s="1138"/>
      <c r="J180" s="747"/>
      <c r="K180" s="1203"/>
    </row>
    <row r="181" spans="1:11" ht="9.75" customHeight="1">
      <c r="A181" s="1130"/>
      <c r="B181" s="1207"/>
      <c r="C181" s="1205"/>
      <c r="D181" s="1204"/>
      <c r="E181" s="1206"/>
      <c r="F181" s="1289"/>
      <c r="G181" s="1192"/>
      <c r="H181" s="1160"/>
      <c r="I181" s="1138"/>
      <c r="J181" s="747"/>
      <c r="K181" s="1203"/>
    </row>
    <row r="182" spans="1:11">
      <c r="A182" s="1130"/>
      <c r="B182" s="1202"/>
      <c r="C182" s="1205"/>
      <c r="D182" s="1204"/>
      <c r="E182" s="1207"/>
      <c r="F182" s="1289"/>
      <c r="G182" s="1192"/>
      <c r="H182" s="1160"/>
      <c r="I182" s="1138"/>
      <c r="J182" s="747"/>
      <c r="K182" s="765"/>
    </row>
    <row r="183" spans="1:11">
      <c r="A183" s="1130"/>
      <c r="B183" s="1207"/>
      <c r="C183" s="1205"/>
      <c r="D183" s="1204"/>
      <c r="E183" s="1206"/>
      <c r="F183" s="1289"/>
      <c r="G183" s="1192"/>
      <c r="H183" s="1160"/>
      <c r="I183" s="1138"/>
      <c r="J183" s="747"/>
      <c r="K183" s="1203"/>
    </row>
    <row r="184" spans="1:11">
      <c r="A184" s="1130"/>
      <c r="B184" s="1207"/>
      <c r="C184" s="1205"/>
      <c r="D184" s="1204"/>
      <c r="E184" s="1206"/>
      <c r="F184" s="1289"/>
      <c r="G184" s="1192"/>
      <c r="H184" s="1160"/>
      <c r="I184" s="1138"/>
      <c r="J184" s="747"/>
      <c r="K184" s="1203"/>
    </row>
    <row r="185" spans="1:11">
      <c r="A185" s="1130"/>
      <c r="B185" s="1207"/>
      <c r="C185" s="1205"/>
      <c r="D185" s="1204"/>
      <c r="E185" s="1206"/>
      <c r="F185" s="1289"/>
      <c r="G185" s="1192"/>
      <c r="H185" s="1160"/>
      <c r="I185" s="1138"/>
      <c r="J185" s="747"/>
      <c r="K185" s="1203"/>
    </row>
    <row r="186" spans="1:11">
      <c r="A186" s="1130"/>
      <c r="B186" s="1207"/>
      <c r="C186" s="1205"/>
      <c r="D186" s="1204"/>
      <c r="E186" s="1206"/>
      <c r="F186" s="1289"/>
      <c r="G186" s="1192"/>
      <c r="H186" s="1160"/>
      <c r="I186" s="1138"/>
      <c r="J186" s="747"/>
      <c r="K186" s="1203"/>
    </row>
    <row r="187" spans="1:11">
      <c r="A187" s="1130"/>
      <c r="B187" s="1207"/>
      <c r="C187" s="1205"/>
      <c r="D187" s="1204"/>
      <c r="E187" s="1206"/>
      <c r="F187" s="1289"/>
      <c r="G187" s="1192"/>
      <c r="H187" s="1160"/>
      <c r="I187" s="1138"/>
      <c r="J187" s="747"/>
      <c r="K187" s="1203"/>
    </row>
    <row r="188" spans="1:11">
      <c r="A188" s="1130"/>
      <c r="B188" s="1202"/>
      <c r="C188" s="1205"/>
      <c r="D188" s="1204"/>
      <c r="E188" s="1206"/>
      <c r="F188" s="1289"/>
      <c r="G188" s="1155"/>
      <c r="H188" s="1160"/>
      <c r="I188" s="1138"/>
      <c r="J188" s="747"/>
      <c r="K188" s="1203"/>
    </row>
    <row r="189" spans="1:11">
      <c r="A189" s="1130"/>
      <c r="B189" s="1207"/>
      <c r="C189" s="1205"/>
      <c r="D189" s="1204"/>
      <c r="E189" s="1206"/>
      <c r="F189" s="1289"/>
      <c r="G189" s="1192"/>
      <c r="H189" s="1160"/>
      <c r="I189" s="1138"/>
      <c r="J189" s="747"/>
      <c r="K189" s="1203"/>
    </row>
    <row r="190" spans="1:11">
      <c r="A190" s="1130"/>
      <c r="B190" s="1207"/>
      <c r="C190" s="1205"/>
      <c r="D190" s="1204"/>
      <c r="E190" s="1206"/>
      <c r="F190" s="23"/>
      <c r="G190" s="1192"/>
      <c r="H190" s="1160"/>
      <c r="I190" s="1138"/>
      <c r="J190" s="1270"/>
      <c r="K190" s="1135"/>
    </row>
    <row r="191" spans="1:11">
      <c r="A191" s="1130"/>
      <c r="B191" s="1168"/>
      <c r="C191" s="1205"/>
      <c r="D191" s="1204"/>
      <c r="E191" s="1206"/>
      <c r="F191" s="1289"/>
      <c r="G191" s="766"/>
      <c r="H191" s="1160"/>
      <c r="I191" s="1138"/>
      <c r="J191" s="747"/>
      <c r="K191" s="1196"/>
    </row>
    <row r="192" spans="1:11">
      <c r="A192" s="1130"/>
      <c r="B192" s="1207"/>
      <c r="C192" s="524"/>
      <c r="D192" s="525"/>
      <c r="E192" s="526"/>
      <c r="F192" s="524"/>
      <c r="G192" s="1289"/>
      <c r="H192" s="1160"/>
      <c r="I192" s="1138"/>
      <c r="J192" s="1196"/>
      <c r="K192" s="1196"/>
    </row>
    <row r="193" spans="1:11">
      <c r="A193" s="1130"/>
      <c r="B193" s="1158"/>
      <c r="C193" s="1205"/>
      <c r="D193" s="1204"/>
      <c r="E193" s="1206"/>
      <c r="F193" s="1289"/>
      <c r="G193" s="1289"/>
      <c r="H193" s="1162"/>
      <c r="I193" s="1138"/>
      <c r="J193" s="1196"/>
      <c r="K193" s="1196"/>
    </row>
    <row r="194" spans="1:11">
      <c r="A194" s="1130"/>
      <c r="B194" s="1207"/>
      <c r="C194" s="1205"/>
      <c r="D194" s="1204"/>
      <c r="E194" s="1206"/>
      <c r="F194" s="1289"/>
      <c r="G194" s="767"/>
      <c r="H194" s="1159"/>
      <c r="I194" s="1138"/>
      <c r="J194" s="747"/>
      <c r="K194" s="765"/>
    </row>
    <row r="195" spans="1:11">
      <c r="A195" s="1130"/>
      <c r="B195" s="1207"/>
      <c r="C195" s="1205"/>
      <c r="D195" s="1204"/>
      <c r="E195" s="1206"/>
      <c r="F195" s="1289"/>
      <c r="G195" s="767"/>
      <c r="H195" s="1159"/>
      <c r="I195" s="1138"/>
      <c r="J195" s="747"/>
      <c r="K195" s="765"/>
    </row>
    <row r="196" spans="1:11">
      <c r="A196" s="1130"/>
      <c r="B196" s="1207"/>
      <c r="C196" s="1205"/>
      <c r="D196" s="1204"/>
      <c r="E196" s="1206"/>
      <c r="F196" s="1205"/>
      <c r="G196" s="767"/>
      <c r="H196" s="1159"/>
      <c r="I196" s="1138"/>
      <c r="J196" s="747"/>
      <c r="K196" s="765"/>
    </row>
    <row r="197" spans="1:11">
      <c r="A197" s="1130"/>
      <c r="B197" s="1168"/>
      <c r="C197" s="1205"/>
      <c r="D197" s="1193"/>
      <c r="E197" s="1206"/>
      <c r="F197" s="1205"/>
      <c r="G197" s="767"/>
      <c r="H197" s="1159"/>
      <c r="I197" s="1138"/>
      <c r="J197" s="747"/>
      <c r="K197" s="765"/>
    </row>
    <row r="198" spans="1:11">
      <c r="A198" s="1130"/>
      <c r="B198" s="1207"/>
      <c r="C198" s="1205"/>
      <c r="D198" s="1193"/>
      <c r="E198" s="1206"/>
      <c r="F198" s="1205"/>
      <c r="G198" s="767"/>
      <c r="H198" s="1159"/>
      <c r="I198" s="1138"/>
      <c r="J198" s="747"/>
      <c r="K198" s="765"/>
    </row>
    <row r="199" spans="1:11">
      <c r="A199" s="1130"/>
      <c r="B199" s="1197"/>
      <c r="C199" s="767"/>
      <c r="D199" s="1204"/>
      <c r="E199" s="1203"/>
      <c r="F199" s="767"/>
      <c r="G199" s="767"/>
      <c r="H199" s="1159"/>
      <c r="I199" s="1138"/>
      <c r="J199" s="747"/>
      <c r="K199" s="765"/>
    </row>
    <row r="200" spans="1:11">
      <c r="A200" s="1130"/>
      <c r="J200" s="1196"/>
      <c r="K200" s="765"/>
    </row>
    <row r="201" spans="1:11">
      <c r="A201" s="1130"/>
      <c r="B201" s="1207"/>
      <c r="C201" s="524"/>
      <c r="D201" s="525"/>
      <c r="E201" s="526"/>
      <c r="F201" s="524"/>
      <c r="G201" s="1289"/>
      <c r="H201" s="1160"/>
      <c r="I201" s="1138"/>
      <c r="J201" s="1196"/>
      <c r="K201" s="765"/>
    </row>
    <row r="202" spans="1:11">
      <c r="A202" s="1130"/>
      <c r="B202" s="1207"/>
      <c r="C202" s="1205"/>
      <c r="D202" s="1204"/>
      <c r="E202" s="1206"/>
      <c r="F202" s="1289"/>
      <c r="G202" s="1289"/>
      <c r="H202" s="1160"/>
      <c r="I202" s="1138"/>
      <c r="J202" s="1196"/>
      <c r="K202" s="1196"/>
    </row>
    <row r="203" spans="1:11">
      <c r="A203" s="1130"/>
      <c r="B203" s="1202"/>
      <c r="C203" s="1205"/>
      <c r="D203" s="1204"/>
      <c r="E203" s="1206"/>
      <c r="F203" s="23"/>
      <c r="G203" s="766"/>
      <c r="H203" s="1159"/>
      <c r="I203" s="1138"/>
      <c r="J203" s="747"/>
      <c r="K203" s="765"/>
    </row>
    <row r="204" spans="1:11">
      <c r="A204" s="1130"/>
      <c r="B204" s="1207"/>
      <c r="C204" s="1205"/>
      <c r="D204" s="1204"/>
      <c r="E204" s="1206"/>
      <c r="F204" s="1289"/>
      <c r="G204" s="766"/>
      <c r="H204" s="1159"/>
      <c r="I204" s="1138"/>
      <c r="J204" s="747"/>
      <c r="K204" s="765"/>
    </row>
    <row r="205" spans="1:11">
      <c r="A205" s="1130"/>
      <c r="B205" s="1207"/>
      <c r="G205" s="1289"/>
      <c r="H205" s="1160"/>
      <c r="I205" s="1138"/>
      <c r="J205" s="1196"/>
      <c r="K205" s="1196"/>
    </row>
    <row r="329" spans="1:9">
      <c r="A329" s="1130"/>
      <c r="B329" s="1207"/>
      <c r="C329" s="1205"/>
      <c r="D329" s="1204"/>
      <c r="E329" s="1206"/>
      <c r="F329" s="1289"/>
      <c r="G329" s="1289"/>
      <c r="H329" s="1210"/>
      <c r="I329" s="1138"/>
    </row>
    <row r="330" spans="1:9">
      <c r="A330" s="1130"/>
      <c r="B330" s="1207"/>
      <c r="C330" s="1157"/>
      <c r="D330" s="1204"/>
      <c r="E330" s="1206"/>
      <c r="F330" s="1289"/>
      <c r="G330" s="1289"/>
      <c r="H330" s="1210"/>
      <c r="I330" s="1138"/>
    </row>
    <row r="331" spans="1:9">
      <c r="A331" s="1130"/>
      <c r="B331" s="1207"/>
      <c r="C331" s="1157"/>
      <c r="D331" s="1204"/>
      <c r="E331" s="1206"/>
      <c r="F331" s="1289"/>
      <c r="G331" s="1289"/>
      <c r="H331" s="1210"/>
      <c r="I331" s="1138"/>
    </row>
    <row r="332" spans="1:9">
      <c r="A332" s="1130"/>
      <c r="B332" s="1132"/>
      <c r="C332" s="1135"/>
      <c r="D332" s="1135"/>
      <c r="E332" s="1132"/>
      <c r="F332" s="1135"/>
      <c r="G332" s="1135"/>
      <c r="H332" s="1135"/>
      <c r="I332" s="1138"/>
    </row>
    <row r="333" spans="1:9" ht="18">
      <c r="A333" s="1210"/>
      <c r="B333" s="1210"/>
      <c r="C333" s="1210"/>
      <c r="D333" s="1210"/>
      <c r="E333" s="1129"/>
      <c r="F333" s="1210"/>
      <c r="G333" s="1210"/>
      <c r="H333" s="537"/>
      <c r="I333" s="1138"/>
    </row>
    <row r="334" spans="1:9">
      <c r="A334" s="1130"/>
      <c r="B334" s="1202"/>
      <c r="C334" s="1205"/>
      <c r="D334" s="1204"/>
      <c r="E334" s="1206"/>
      <c r="F334" s="1289"/>
      <c r="G334" s="1289"/>
      <c r="H334" s="1210"/>
      <c r="I334" s="1138"/>
    </row>
    <row r="335" spans="1:9">
      <c r="A335" s="1130"/>
      <c r="B335" s="1207"/>
      <c r="C335" s="1205"/>
      <c r="D335" s="1204"/>
      <c r="E335" s="1206"/>
      <c r="F335" s="1289"/>
      <c r="G335" s="1289"/>
      <c r="H335" s="1210"/>
      <c r="I335" s="1138"/>
    </row>
    <row r="336" spans="1:9">
      <c r="A336" s="1130"/>
      <c r="B336" s="1207"/>
      <c r="C336" s="1205"/>
      <c r="D336" s="1205"/>
      <c r="E336" s="1206"/>
      <c r="F336" s="27"/>
      <c r="G336" s="1289"/>
      <c r="H336" s="1210"/>
      <c r="I336" s="1138"/>
    </row>
    <row r="337" spans="1:9">
      <c r="A337" s="1130"/>
      <c r="B337" s="1207"/>
      <c r="C337" s="1205"/>
      <c r="D337" s="1204"/>
      <c r="E337" s="1206"/>
      <c r="F337" s="1289"/>
      <c r="G337" s="1289"/>
      <c r="H337" s="1210"/>
      <c r="I337" s="1138"/>
    </row>
    <row r="338" spans="1:9">
      <c r="A338" s="1130"/>
      <c r="B338" s="1207"/>
      <c r="C338" s="1205"/>
      <c r="D338" s="1204"/>
      <c r="E338" s="1206"/>
      <c r="F338" s="1289"/>
      <c r="G338" s="1289"/>
      <c r="H338" s="1210"/>
      <c r="I338" s="1138"/>
    </row>
    <row r="339" spans="1:9">
      <c r="A339" s="1130"/>
      <c r="B339" s="1207"/>
      <c r="C339" s="1205"/>
      <c r="D339" s="1204"/>
      <c r="E339" s="1206"/>
      <c r="F339" s="1289"/>
      <c r="G339" s="1289"/>
      <c r="H339" s="1210"/>
      <c r="I339" s="1138"/>
    </row>
    <row r="340" spans="1:9">
      <c r="A340" s="1130"/>
      <c r="B340" s="1132"/>
      <c r="C340" s="1135"/>
      <c r="D340" s="1135"/>
      <c r="E340" s="1132"/>
      <c r="F340" s="1135"/>
      <c r="G340" s="1135"/>
      <c r="H340" s="1135"/>
      <c r="I340" s="1138"/>
    </row>
    <row r="341" spans="1:9" ht="18">
      <c r="A341" s="1210"/>
      <c r="B341" s="1210"/>
      <c r="C341" s="1210"/>
      <c r="D341" s="1210"/>
      <c r="E341" s="1129"/>
      <c r="F341" s="1210"/>
      <c r="G341" s="1210"/>
      <c r="H341" s="537"/>
      <c r="I341" s="1138"/>
    </row>
    <row r="342" spans="1:9">
      <c r="A342" s="1130"/>
      <c r="B342" s="1207"/>
      <c r="C342" s="1157"/>
      <c r="D342" s="1204"/>
      <c r="E342" s="1206"/>
      <c r="F342" s="1289"/>
      <c r="G342" s="1289"/>
      <c r="H342" s="1210"/>
      <c r="I342" s="1138"/>
    </row>
    <row r="343" spans="1:9">
      <c r="A343" s="1130"/>
      <c r="B343" s="1158"/>
      <c r="C343" s="1154"/>
      <c r="D343" s="1289"/>
      <c r="E343" s="1206"/>
      <c r="F343" s="27"/>
      <c r="G343" s="1289"/>
      <c r="H343" s="1210"/>
      <c r="I343" s="1138"/>
    </row>
    <row r="344" spans="1:9">
      <c r="A344" s="1130"/>
      <c r="B344" s="1158"/>
      <c r="C344" s="1154"/>
      <c r="D344" s="1205"/>
      <c r="E344" s="1206"/>
      <c r="F344" s="27"/>
      <c r="G344" s="1289"/>
      <c r="H344" s="1210"/>
      <c r="I344" s="1138"/>
    </row>
    <row r="345" spans="1:9">
      <c r="A345" s="1130"/>
      <c r="B345" s="1158"/>
      <c r="C345" s="1205"/>
      <c r="D345" s="1205"/>
      <c r="E345" s="1206"/>
      <c r="F345" s="27"/>
      <c r="G345" s="1289"/>
      <c r="H345" s="1210"/>
      <c r="I345" s="1138"/>
    </row>
    <row r="346" spans="1:9">
      <c r="A346" s="1130"/>
      <c r="B346" s="1207"/>
      <c r="C346" s="1157"/>
      <c r="D346" s="1204"/>
      <c r="E346" s="1206"/>
      <c r="F346" s="1289"/>
      <c r="G346" s="1289"/>
      <c r="H346" s="1210"/>
      <c r="I346" s="1138"/>
    </row>
    <row r="347" spans="1:9">
      <c r="A347" s="1130"/>
      <c r="B347" s="1207"/>
      <c r="C347" s="1205"/>
      <c r="D347" s="1204"/>
      <c r="E347" s="1206"/>
      <c r="F347" s="1289"/>
      <c r="G347" s="1289"/>
      <c r="H347" s="1210"/>
      <c r="I347" s="1138"/>
    </row>
    <row r="348" spans="1:9">
      <c r="A348" s="1130"/>
      <c r="B348" s="1132"/>
      <c r="C348" s="1135"/>
      <c r="D348" s="1135"/>
      <c r="E348" s="1132"/>
      <c r="F348" s="1135"/>
      <c r="G348" s="1135"/>
      <c r="H348" s="1135"/>
      <c r="I348" s="1138"/>
    </row>
    <row r="349" spans="1:9" ht="18">
      <c r="A349" s="1210"/>
      <c r="B349" s="1210"/>
      <c r="C349" s="1210"/>
      <c r="D349" s="1210"/>
      <c r="E349" s="1129"/>
      <c r="F349" s="1210"/>
      <c r="G349" s="1210"/>
      <c r="H349" s="537"/>
      <c r="I349" s="1138"/>
    </row>
    <row r="350" spans="1:9">
      <c r="A350" s="1130"/>
      <c r="B350" s="1207"/>
      <c r="C350" s="1205"/>
      <c r="D350" s="1204"/>
      <c r="E350" s="1206"/>
      <c r="F350" s="1289"/>
      <c r="G350" s="1289"/>
      <c r="H350" s="1289"/>
      <c r="I350" s="1138"/>
    </row>
    <row r="351" spans="1:9">
      <c r="A351" s="1130"/>
      <c r="B351" s="1207"/>
      <c r="C351" s="1205"/>
      <c r="D351" s="1204"/>
      <c r="E351" s="1206"/>
      <c r="F351" s="1289"/>
      <c r="G351" s="1289"/>
      <c r="H351" s="1289"/>
      <c r="I351" s="1138"/>
    </row>
    <row r="352" spans="1:9">
      <c r="A352" s="1130"/>
      <c r="B352" s="1207"/>
      <c r="C352" s="1205"/>
      <c r="D352" s="1204"/>
      <c r="E352" s="1206"/>
      <c r="F352" s="1289"/>
      <c r="G352" s="1289"/>
      <c r="H352" s="1289"/>
      <c r="I352" s="1138"/>
    </row>
    <row r="353" spans="1:9">
      <c r="A353" s="1130"/>
      <c r="B353" s="1202"/>
      <c r="C353" s="1205"/>
      <c r="D353" s="1204"/>
      <c r="E353" s="1206"/>
      <c r="F353" s="1289"/>
      <c r="G353" s="23"/>
      <c r="H353" s="1289"/>
      <c r="I353" s="1138"/>
    </row>
    <row r="354" spans="1:9">
      <c r="A354" s="1130"/>
      <c r="B354" s="1207"/>
      <c r="C354" s="1205"/>
      <c r="D354" s="1204"/>
      <c r="E354" s="1206"/>
      <c r="F354" s="1289"/>
      <c r="G354" s="1289"/>
      <c r="H354" s="1289"/>
      <c r="I354" s="1138"/>
    </row>
    <row r="355" spans="1:9">
      <c r="A355" s="1130"/>
      <c r="B355" s="1158"/>
      <c r="C355" s="1205"/>
      <c r="D355" s="1205"/>
      <c r="E355" s="1206"/>
      <c r="F355" s="27"/>
      <c r="G355" s="1289"/>
      <c r="H355" s="27"/>
      <c r="I355" s="1138"/>
    </row>
    <row r="356" spans="1:9">
      <c r="A356" s="1130"/>
    </row>
    <row r="357" spans="1:9">
      <c r="A357" s="1210"/>
    </row>
    <row r="358" spans="1:9">
      <c r="A358" s="1210"/>
    </row>
    <row r="359" spans="1:9">
      <c r="A359" s="1130"/>
      <c r="B359" s="1132"/>
      <c r="C359" s="1135"/>
      <c r="D359" s="1131"/>
      <c r="E359" s="1132"/>
      <c r="F359" s="1135"/>
      <c r="G359" s="1135"/>
      <c r="H359" s="1135"/>
      <c r="I359" s="1138"/>
    </row>
    <row r="360" spans="1:9" ht="18">
      <c r="A360" s="1130"/>
      <c r="B360" s="1210"/>
      <c r="C360" s="1210"/>
      <c r="D360" s="1210"/>
      <c r="E360" s="1129"/>
      <c r="F360" s="1210"/>
      <c r="G360" s="1210"/>
      <c r="H360" s="537"/>
      <c r="I360" s="1138"/>
    </row>
    <row r="361" spans="1:9" ht="18">
      <c r="A361" s="1130"/>
      <c r="B361" s="1210"/>
      <c r="C361" s="1210"/>
      <c r="D361" s="1210"/>
      <c r="E361" s="1129"/>
      <c r="F361" s="1210"/>
      <c r="G361" s="1210"/>
      <c r="H361" s="537"/>
      <c r="I361" s="1138"/>
    </row>
    <row r="362" spans="1:9">
      <c r="A362" s="1130"/>
      <c r="B362" s="1207"/>
      <c r="C362" s="1205"/>
      <c r="D362" s="1204"/>
      <c r="E362" s="1206"/>
      <c r="F362" s="1289"/>
      <c r="G362" s="1289"/>
      <c r="H362" s="1210"/>
      <c r="I362" s="1138"/>
    </row>
    <row r="363" spans="1:9">
      <c r="A363" s="1130"/>
      <c r="B363" s="1207"/>
      <c r="C363" s="1205"/>
      <c r="D363" s="1204"/>
      <c r="E363" s="1206"/>
      <c r="F363" s="1289"/>
      <c r="G363" s="1289"/>
      <c r="H363" s="1210"/>
      <c r="I363" s="1138"/>
    </row>
    <row r="364" spans="1:9">
      <c r="A364" s="1130"/>
      <c r="B364" s="1207"/>
      <c r="C364" s="1205"/>
      <c r="D364" s="1204"/>
      <c r="E364" s="1206"/>
      <c r="F364" s="1289"/>
      <c r="G364" s="1289"/>
      <c r="H364" s="1210"/>
      <c r="I364" s="1138"/>
    </row>
    <row r="365" spans="1:9">
      <c r="A365" s="1130"/>
      <c r="B365" s="1207"/>
      <c r="C365" s="1205"/>
      <c r="D365" s="1204"/>
      <c r="E365" s="1206"/>
      <c r="F365" s="1289"/>
      <c r="G365" s="1289"/>
      <c r="H365" s="1210"/>
      <c r="I365" s="1138"/>
    </row>
    <row r="366" spans="1:9">
      <c r="A366" s="1130"/>
      <c r="B366" s="1207"/>
      <c r="C366" s="1205"/>
      <c r="D366" s="1204"/>
      <c r="E366" s="1206"/>
      <c r="F366" s="1289"/>
      <c r="G366" s="1289"/>
      <c r="H366" s="1210"/>
      <c r="I366" s="1138"/>
    </row>
    <row r="367" spans="1:9">
      <c r="A367" s="1210"/>
      <c r="B367" s="1207"/>
      <c r="C367" s="1205"/>
      <c r="D367" s="1204"/>
      <c r="E367" s="1206"/>
      <c r="F367" s="1289"/>
      <c r="G367" s="1289"/>
      <c r="H367" s="1210"/>
      <c r="I367" s="1138"/>
    </row>
    <row r="368" spans="1:9">
      <c r="A368" s="1210"/>
      <c r="B368" s="1210"/>
      <c r="C368" s="1210"/>
      <c r="D368" s="1210"/>
      <c r="E368" s="1210"/>
      <c r="F368" s="1210"/>
      <c r="G368" s="1210"/>
      <c r="H368" s="537"/>
      <c r="I368" s="1138"/>
    </row>
    <row r="369" spans="2:9">
      <c r="B369" s="1210"/>
      <c r="C369" s="1210"/>
      <c r="D369" s="1210"/>
      <c r="E369" s="1210"/>
      <c r="F369" s="1210"/>
      <c r="G369" s="1210"/>
      <c r="H369" s="537"/>
      <c r="I369" s="1138"/>
    </row>
    <row r="370" spans="2:9">
      <c r="B370" s="1210"/>
      <c r="C370" s="1143"/>
      <c r="D370" s="1210"/>
      <c r="E370" s="1210"/>
      <c r="F370" s="1210"/>
      <c r="G370" s="1210"/>
      <c r="H370" s="537"/>
      <c r="I370" s="1138"/>
    </row>
    <row r="371" spans="2:9">
      <c r="B371" s="1210"/>
      <c r="C371" s="1143"/>
      <c r="D371" s="1210"/>
      <c r="E371" s="1210"/>
      <c r="F371" s="1210"/>
      <c r="G371" s="1210"/>
      <c r="H371" s="537"/>
      <c r="I371" s="1210"/>
    </row>
  </sheetData>
  <sortState xmlns:xlrd2="http://schemas.microsoft.com/office/spreadsheetml/2017/richdata2" ref="B60:J72">
    <sortCondition descending="1" ref="J60:J72"/>
  </sortState>
  <mergeCells count="36">
    <mergeCell ref="K111:K112"/>
    <mergeCell ref="C145:D145"/>
    <mergeCell ref="A56:K56"/>
    <mergeCell ref="A57:K57"/>
    <mergeCell ref="B58:E58"/>
    <mergeCell ref="J58:K58"/>
    <mergeCell ref="F108:I108"/>
    <mergeCell ref="A109:K109"/>
    <mergeCell ref="A110:K110"/>
    <mergeCell ref="A111:A112"/>
    <mergeCell ref="B111:B112"/>
    <mergeCell ref="C111:D112"/>
    <mergeCell ref="E111:E112"/>
    <mergeCell ref="F111:G112"/>
    <mergeCell ref="H111:I111"/>
    <mergeCell ref="J111:J112"/>
    <mergeCell ref="A107:K107"/>
    <mergeCell ref="A55:C55"/>
    <mergeCell ref="F55:J55"/>
    <mergeCell ref="C47:H48"/>
    <mergeCell ref="C50:K50"/>
    <mergeCell ref="C51:K51"/>
    <mergeCell ref="C52:K52"/>
    <mergeCell ref="A53:K53"/>
    <mergeCell ref="A54:K54"/>
    <mergeCell ref="B102:D102"/>
    <mergeCell ref="C103:K103"/>
    <mergeCell ref="C104:K104"/>
    <mergeCell ref="C105:K105"/>
    <mergeCell ref="A106:K106"/>
    <mergeCell ref="A25:K25"/>
    <mergeCell ref="A1:K1"/>
    <mergeCell ref="A2:K2"/>
    <mergeCell ref="A3:K3"/>
    <mergeCell ref="A22:K22"/>
    <mergeCell ref="A23:K23"/>
  </mergeCells>
  <conditionalFormatting sqref="C133">
    <cfRule type="duplicateValues" dxfId="387" priority="102"/>
  </conditionalFormatting>
  <conditionalFormatting sqref="C128:C131 C114:C115">
    <cfRule type="duplicateValues" dxfId="386" priority="101"/>
  </conditionalFormatting>
  <conditionalFormatting sqref="C167">
    <cfRule type="duplicateValues" dxfId="385" priority="100"/>
  </conditionalFormatting>
  <conditionalFormatting sqref="D142 C141">
    <cfRule type="duplicateValues" dxfId="384" priority="99"/>
  </conditionalFormatting>
  <conditionalFormatting sqref="C158">
    <cfRule type="duplicateValues" dxfId="383" priority="98"/>
  </conditionalFormatting>
  <conditionalFormatting sqref="H128 H144 H155:H156 H169 H158">
    <cfRule type="expression" dxfId="382" priority="96">
      <formula>IF(ISNUMBER(H128),FALSE,IF(ISBLANK(H128),FALSE,TRUE))</formula>
    </cfRule>
    <cfRule type="expression" dxfId="381" priority="97">
      <formula>IF(INT(H128/10000)&gt;23,TRUE,IF(INT(MOD(H128,10000)/100)&gt;59.99,TRUE,IF(MOD(H128,100)&gt;59.99,TRUE,FALSE)))</formula>
    </cfRule>
  </conditionalFormatting>
  <conditionalFormatting sqref="K190:K191 H205 K205 H201:H202 H198:H199 H192:H193 H188 H184:H185 H176 H178:H182 H170:H174 K167 K143:K145 H166 H161 H142 H139:H140 K170 H129 H126:H127 H132:H133">
    <cfRule type="expression" dxfId="380" priority="95">
      <formula>IF(NOT(ISBLANK(H126)),IF(ISNUMBER(H126),IF(INT(H126/10000)&gt;23,TRUE,IF(INT(MOD(H126,10000)/100)&gt;59.99,TRUE,IF(MOD(H126,100)&gt;59.99,TRUE,FALSE))),TRUE))</formula>
    </cfRule>
  </conditionalFormatting>
  <conditionalFormatting sqref="C127">
    <cfRule type="duplicateValues" dxfId="379" priority="94"/>
  </conditionalFormatting>
  <conditionalFormatting sqref="A127:A128 A131 A134 A137">
    <cfRule type="expression" priority="93">
      <formula>IF(MOD(A131,10)&lt;10,MOD(A131,10),IF(A131/10&gt;8,MOD(A131,80),IF(A131/10&gt;7,MOD(A131,70),IF(A131/10&gt;6,MOD(A131,60),IF(A131/10&gt;5,MOD(A131,50),IF(A131/10&gt;4,MOD(A131,40),IF(A131/10&gt;3,MOD(A131,30),IF(A131/10&gt;2,MOD(A131,20),MOD(A131,100)))))))))</formula>
    </cfRule>
  </conditionalFormatting>
  <conditionalFormatting sqref="A118 A121:A123">
    <cfRule type="expression" priority="92">
      <formula>IF(MOD(#REF!,10)&lt;10,MOD(#REF!,10),IF(#REF!/10&gt;8,MOD(#REF!,80),IF(#REF!/10&gt;7,MOD(#REF!,70),IF(#REF!/10&gt;6,MOD(#REF!,60),IF(#REF!/10&gt;5,MOD(#REF!,50),IF(#REF!/10&gt;4,MOD(#REF!,40),IF(#REF!/10&gt;3,MOD(#REF!,30),IF(#REF!/10&gt;2,MOD(#REF!,20),MOD(#REF!,100)))))))))</formula>
    </cfRule>
  </conditionalFormatting>
  <conditionalFormatting sqref="A155:A156 A121">
    <cfRule type="expression" priority="91">
      <formula>IF(MOD(#REF!,10)&lt;10,MOD(#REF!,10),IF(#REF!/10&gt;8,MOD(#REF!,80),IF(#REF!/10&gt;7,MOD(#REF!,70),IF(#REF!/10&gt;6,MOD(#REF!,60),IF(#REF!/10&gt;5,MOD(#REF!,50),IF(#REF!/10&gt;4,MOD(#REF!,40),IF(#REF!/10&gt;3,MOD(#REF!,30),IF(#REF!/10&gt;2,MOD(#REF!,20),MOD(#REF!,100)))))))))</formula>
    </cfRule>
  </conditionalFormatting>
  <conditionalFormatting sqref="C157">
    <cfRule type="duplicateValues" dxfId="378" priority="90"/>
  </conditionalFormatting>
  <conditionalFormatting sqref="A171:A191">
    <cfRule type="expression" priority="89">
      <formula>IF(MOD(#REF!,10)&lt;10,MOD(#REF!,10),IF(#REF!/10&gt;8,MOD(#REF!,80),IF(#REF!/10&gt;7,MOD(#REF!,70),IF(#REF!/10&gt;6,MOD(#REF!,60),IF(#REF!/10&gt;5,MOD(#REF!,50),IF(#REF!/10&gt;4,MOD(#REF!,40),IF(#REF!/10&gt;3,MOD(#REF!,30),IF(#REF!/10&gt;2,MOD(#REF!,20),MOD(#REF!,100)))))))))</formula>
    </cfRule>
  </conditionalFormatting>
  <conditionalFormatting sqref="B193">
    <cfRule type="expression" dxfId="377" priority="88">
      <formula>IF(#REF!&lt;&gt;$H$11,IF(#REF!&lt;&gt;$H$12,IF(#REF!&lt;&gt;$H$13,IF(#REF!&lt;&gt;$I$11,IF(B193&lt;&gt;$I$12,IF(#REF!&lt;&gt;$I$13,IF(#REF!&lt;&gt;$L$11,IF(#REF!&lt;&gt;$L$12,IF(#REF!&lt;&gt;$L$13,IF(#REF!&lt;&gt;$N$11,IF(#REF!&lt;&gt;$N$12,TRUE)))))))))))</formula>
    </cfRule>
  </conditionalFormatting>
  <conditionalFormatting sqref="C195">
    <cfRule type="duplicateValues" dxfId="376" priority="87"/>
  </conditionalFormatting>
  <conditionalFormatting sqref="B205">
    <cfRule type="expression" dxfId="375" priority="86">
      <formula>IF(#REF!&lt;&gt;$H$11,IF(#REF!&lt;&gt;$H$12,IF(#REF!&lt;&gt;$H$13,IF(#REF!&lt;&gt;$I$11,IF(B205&lt;&gt;$I$12,IF(#REF!&lt;&gt;$I$13,IF(#REF!&lt;&gt;$L$11,IF(#REF!&lt;&gt;$L$12,IF(#REF!&lt;&gt;$L$13,IF(#REF!&lt;&gt;$N$11,IF(#REF!&lt;&gt;$N$12,TRUE)))))))))))</formula>
    </cfRule>
  </conditionalFormatting>
  <conditionalFormatting sqref="A166">
    <cfRule type="expression" priority="85">
      <formula>IF(MOD(#REF!,10)&lt;10,MOD(#REF!,10),IF(#REF!/10&gt;8,MOD(#REF!,80),IF(#REF!/10&gt;7,MOD(#REF!,70),IF(#REF!/10&gt;6,MOD(#REF!,60),IF(#REF!/10&gt;5,MOD(#REF!,50),IF(#REF!/10&gt;4,MOD(#REF!,40),IF(#REF!/10&gt;3,MOD(#REF!,30),IF(#REF!/10&gt;2,MOD(#REF!,20),MOD(#REF!,100)))))))))</formula>
    </cfRule>
  </conditionalFormatting>
  <conditionalFormatting sqref="E171:E191 E159:E169 E129:E156 E116:E126">
    <cfRule type="expression" dxfId="374" priority="84">
      <formula>IF(ISBLANK(E116),FALSE,IF(IF(ISNUMBER($E$13),IF(YEAR(TODAY())-$E$13&lt;=E116,FALSE,TRUE),FALSE),TRUE,IF(ISNUMBER($H$13),IF(YEAR(TODAY())-$H$13&lt;E116,TRUE,FALSE),FALSE)))</formula>
    </cfRule>
  </conditionalFormatting>
  <conditionalFormatting sqref="G119 G121:G126 G116:G117">
    <cfRule type="expression" dxfId="373" priority="83">
      <formula>IF(G116&gt;($H$11+$H$12-#REF!),IF((G116+#REF!)&gt;($H$11+$H$12),TRUE,))</formula>
    </cfRule>
  </conditionalFormatting>
  <conditionalFormatting sqref="G118 G120">
    <cfRule type="expression" dxfId="372" priority="82">
      <formula>IF(G118&gt;($H$11+$H$12-#REF!),IF((G118+#REF!)&gt;($H$11+$H$12),TRUE,))</formula>
    </cfRule>
  </conditionalFormatting>
  <conditionalFormatting sqref="B117">
    <cfRule type="expression" dxfId="371" priority="81">
      <formula>IF(#REF!&lt;&gt;$I$11,IF(#REF!&lt;&gt;$I$12,IF(#REF!&lt;&gt;$I$13,IF(#REF!&lt;&gt;$J$11,IF(#REF!&lt;&gt;$J$12,IF(#REF!&lt;&gt;$J$13,IF(#REF!&lt;&gt;#REF!,IF(#REF!&lt;&gt;#REF!,IF(#REF!&lt;&gt;#REF!,IF(#REF!&lt;&gt;#REF!,IF(#REF!&lt;&gt;#REF!,TRUE)))))))))))</formula>
    </cfRule>
  </conditionalFormatting>
  <conditionalFormatting sqref="B150 B146:B147 B144 B126 B123 B119:B120">
    <cfRule type="expression" dxfId="370" priority="80">
      <formula>IF(#REF!&lt;&gt;$I$11,IF(#REF!&lt;&gt;$I$12,IF(#REF!&lt;&gt;$I$13,IF(#REF!&lt;&gt;$J$11,IF(#REF!&lt;&gt;$J$12,IF(#REF!&lt;&gt;$J$13,IF(#REF!&lt;&gt;#REF!,IF(#REF!&lt;&gt;#REF!,IF(#REF!&lt;&gt;#REF!,IF(#REF!&lt;&gt;#REF!,IF(#REF!&lt;&gt;#REF!,TRUE)))))))))))</formula>
    </cfRule>
  </conditionalFormatting>
  <conditionalFormatting sqref="A135">
    <cfRule type="expression" priority="79">
      <formula>IF(MOD(A154,10)&lt;10,MOD(A154,10),IF(A154/10&gt;8,MOD(A154,80),IF(A154/10&gt;7,MOD(A154,70),IF(A154/10&gt;6,MOD(A154,60),IF(A154/10&gt;5,MOD(A154,50),IF(A154/10&gt;4,MOD(A154,40),IF(A154/10&gt;3,MOD(A154,30),IF(A154/10&gt;2,MOD(A154,20),MOD(A154,100)))))))))</formula>
    </cfRule>
  </conditionalFormatting>
  <conditionalFormatting sqref="A129:A133 A135:A136 A138:A139 A141:A142">
    <cfRule type="expression" priority="78">
      <formula>IF(MOD(A150,10)&lt;10,MOD(A150,10),IF(A150/10&gt;8,MOD(A150,80),IF(A150/10&gt;7,MOD(A150,70),IF(A150/10&gt;6,MOD(A150,60),IF(A150/10&gt;5,MOD(A150,50),IF(A150/10&gt;4,MOD(A150,40),IF(A150/10&gt;3,MOD(A150,30),IF(A150/10&gt;2,MOD(A150,20),MOD(A150,100)))))))))</formula>
    </cfRule>
  </conditionalFormatting>
  <conditionalFormatting sqref="B143">
    <cfRule type="expression" dxfId="369" priority="77">
      <formula>IF(#REF!&lt;&gt;$I$11,IF(#REF!&lt;&gt;$I$12,IF(#REF!&lt;&gt;$I$13,IF(#REF!&lt;&gt;$J$11,IF(#REF!&lt;&gt;$J$12,IF(#REF!&lt;&gt;$J$13,IF(#REF!&lt;&gt;#REF!,IF(#REF!&lt;&gt;#REF!,IF(#REF!&lt;&gt;#REF!,IF(#REF!&lt;&gt;#REF!,IF(#REF!&lt;&gt;#REF!,TRUE)))))))))))</formula>
    </cfRule>
  </conditionalFormatting>
  <conditionalFormatting sqref="B148">
    <cfRule type="expression" dxfId="368" priority="76">
      <formula>IF(#REF!&lt;&gt;$I$11,IF(#REF!&lt;&gt;$I$12,IF(#REF!&lt;&gt;$I$13,IF(#REF!&lt;&gt;$J$11,IF(#REF!&lt;&gt;$J$12,IF(#REF!&lt;&gt;$J$13,IF(#REF!&lt;&gt;#REF!,IF(#REF!&lt;&gt;#REF!,IF(#REF!&lt;&gt;#REF!,IF(#REF!&lt;&gt;#REF!,IF(#REF!&lt;&gt;#REF!,TRUE)))))))))))</formula>
    </cfRule>
  </conditionalFormatting>
  <conditionalFormatting sqref="B153">
    <cfRule type="expression" dxfId="367" priority="75">
      <formula>IF(#REF!&lt;&gt;$I$11,IF(#REF!&lt;&gt;$I$12,IF(#REF!&lt;&gt;$I$13,IF(#REF!&lt;&gt;$J$11,IF(#REF!&lt;&gt;$J$12,IF(#REF!&lt;&gt;$J$13,IF(#REF!&lt;&gt;#REF!,IF(#REF!&lt;&gt;#REF!,IF(#REF!&lt;&gt;#REF!,IF(#REF!&lt;&gt;#REF!,IF(#REF!&lt;&gt;#REF!,TRUE)))))))))))</formula>
    </cfRule>
  </conditionalFormatting>
  <conditionalFormatting sqref="A137">
    <cfRule type="expression" priority="74">
      <formula>IF(MOD(#REF!,10)&lt;10,MOD(#REF!,10),IF(#REF!/10&gt;8,MOD(#REF!,80),IF(#REF!/10&gt;7,MOD(#REF!,70),IF(#REF!/10&gt;6,MOD(#REF!,60),IF(#REF!/10&gt;5,MOD(#REF!,50),IF(#REF!/10&gt;4,MOD(#REF!,40),IF(#REF!/10&gt;3,MOD(#REF!,30),IF(#REF!/10&gt;2,MOD(#REF!,20),MOD(#REF!,100)))))))))</formula>
    </cfRule>
  </conditionalFormatting>
  <conditionalFormatting sqref="A118:A119">
    <cfRule type="expression" priority="73">
      <formula>IF(MOD(A140,10)&lt;10,MOD(A140,10),IF(A140/10&gt;8,MOD(A140,80),IF(A140/10&gt;7,MOD(A140,70),IF(A140/10&gt;6,MOD(A140,60),IF(A140/10&gt;5,MOD(A140,50),IF(A140/10&gt;4,MOD(A140,40),IF(A140/10&gt;3,MOD(A140,30),IF(A140/10&gt;2,MOD(A140,20),MOD(A140,100)))))))))</formula>
    </cfRule>
  </conditionalFormatting>
  <conditionalFormatting sqref="A184 A168">
    <cfRule type="expression" priority="72">
      <formula>IF(MOD(#REF!,10)&lt;10,MOD(#REF!,10),IF(#REF!/10&gt;8,MOD(#REF!,80),IF(#REF!/10&gt;7,MOD(#REF!,70),IF(#REF!/10&gt;6,MOD(#REF!,60),IF(#REF!/10&gt;5,MOD(#REF!,50),IF(#REF!/10&gt;4,MOD(#REF!,40),IF(#REF!/10&gt;3,MOD(#REF!,30),IF(#REF!/10&gt;2,MOD(#REF!,20),MOD(#REF!,100)))))))))</formula>
    </cfRule>
  </conditionalFormatting>
  <conditionalFormatting sqref="A191">
    <cfRule type="expression" priority="71">
      <formula>IF(MOD(#REF!,10)&lt;10,MOD(#REF!,10),IF(#REF!/10&gt;8,MOD(#REF!,80),IF(#REF!/10&gt;7,MOD(#REF!,70),IF(#REF!/10&gt;6,MOD(#REF!,60),IF(#REF!/10&gt;5,MOD(#REF!,50),IF(#REF!/10&gt;4,MOD(#REF!,40),IF(#REF!/10&gt;3,MOD(#REF!,30),IF(#REF!/10&gt;2,MOD(#REF!,20),MOD(#REF!,100)))))))))</formula>
    </cfRule>
  </conditionalFormatting>
  <conditionalFormatting sqref="A123">
    <cfRule type="expression" priority="70">
      <formula>IF(MOD(#REF!,10)&lt;10,MOD(#REF!,10),IF(#REF!/10&gt;8,MOD(#REF!,80),IF(#REF!/10&gt;7,MOD(#REF!,70),IF(#REF!/10&gt;6,MOD(#REF!,60),IF(#REF!/10&gt;5,MOD(#REF!,50),IF(#REF!/10&gt;4,MOD(#REF!,40),IF(#REF!/10&gt;3,MOD(#REF!,30),IF(#REF!/10&gt;2,MOD(#REF!,20),MOD(#REF!,100)))))))))</formula>
    </cfRule>
  </conditionalFormatting>
  <conditionalFormatting sqref="A189 A183 A186 A173 A176 A179:A180 A169:A170 A148:A150 A140:A142 A126 A117 A123:A124 A120:A121">
    <cfRule type="expression" priority="69">
      <formula>IF(MOD(#REF!,10)&lt;10,MOD(#REF!,10),IF(#REF!/10&gt;8,MOD(#REF!,80),IF(#REF!/10&gt;7,MOD(#REF!,70),IF(#REF!/10&gt;6,MOD(#REF!,60),IF(#REF!/10&gt;5,MOD(#REF!,50),IF(#REF!/10&gt;4,MOD(#REF!,40),IF(#REF!/10&gt;3,MOD(#REF!,30),IF(#REF!/10&gt;2,MOD(#REF!,20),MOD(#REF!,100)))))))))</formula>
    </cfRule>
  </conditionalFormatting>
  <conditionalFormatting sqref="A163">
    <cfRule type="expression" priority="68">
      <formula>IF(MOD(#REF!,10)&lt;10,MOD(#REF!,10),IF(#REF!/10&gt;8,MOD(#REF!,80),IF(#REF!/10&gt;7,MOD(#REF!,70),IF(#REF!/10&gt;6,MOD(#REF!,60),IF(#REF!/10&gt;5,MOD(#REF!,50),IF(#REF!/10&gt;4,MOD(#REF!,40),IF(#REF!/10&gt;3,MOD(#REF!,30),IF(#REF!/10&gt;2,MOD(#REF!,20),MOD(#REF!,100)))))))))</formula>
    </cfRule>
  </conditionalFormatting>
  <conditionalFormatting sqref="B164">
    <cfRule type="expression" dxfId="366" priority="67">
      <formula>IF(#REF!&lt;&gt;$I$11,IF(#REF!&lt;&gt;$I$12,IF(#REF!&lt;&gt;$I$13,IF(#REF!&lt;&gt;$J$11,IF(#REF!&lt;&gt;$J$12,IF(#REF!&lt;&gt;$J$13,IF(#REF!&lt;&gt;#REF!,IF(#REF!&lt;&gt;#REF!,IF(#REF!&lt;&gt;#REF!,IF(#REF!&lt;&gt;#REF!,IF(#REF!&lt;&gt;#REF!,TRUE)))))))))))</formula>
    </cfRule>
  </conditionalFormatting>
  <conditionalFormatting sqref="B145">
    <cfRule type="expression" dxfId="365" priority="66">
      <formula>IF(#REF!&lt;&gt;$I$11,IF(#REF!&lt;&gt;$I$12,IF(#REF!&lt;&gt;$I$13,IF(#REF!&lt;&gt;$J$11,IF(#REF!&lt;&gt;$J$12,IF(#REF!&lt;&gt;$J$13,IF(#REF!&lt;&gt;#REF!,IF(#REF!&lt;&gt;#REF!,IF(#REF!&lt;&gt;#REF!,IF(#REF!&lt;&gt;#REF!,IF(#REF!&lt;&gt;#REF!,TRUE)))))))))))</formula>
    </cfRule>
  </conditionalFormatting>
  <conditionalFormatting sqref="A149:A150">
    <cfRule type="expression" priority="65">
      <formula>IF(MOD(#REF!,10)&lt;10,MOD(#REF!,10),IF(#REF!/10&gt;8,MOD(#REF!,80),IF(#REF!/10&gt;7,MOD(#REF!,70),IF(#REF!/10&gt;6,MOD(#REF!,60),IF(#REF!/10&gt;5,MOD(#REF!,50),IF(#REF!/10&gt;4,MOD(#REF!,40),IF(#REF!/10&gt;3,MOD(#REF!,30),IF(#REF!/10&gt;2,MOD(#REF!,20),MOD(#REF!,100)))))))))</formula>
    </cfRule>
  </conditionalFormatting>
  <conditionalFormatting sqref="B163">
    <cfRule type="expression" dxfId="364" priority="64">
      <formula>IF(#REF!&lt;&gt;$I$11,IF(#REF!&lt;&gt;$I$12,IF(#REF!&lt;&gt;$I$13,IF(#REF!&lt;&gt;$J$11,IF(#REF!&lt;&gt;$J$12,IF(#REF!&lt;&gt;$J$13,IF(#REF!&lt;&gt;#REF!,IF(#REF!&lt;&gt;#REF!,IF(#REF!&lt;&gt;#REF!,IF(#REF!&lt;&gt;#REF!,IF(#REF!&lt;&gt;#REF!,TRUE)))))))))))</formula>
    </cfRule>
  </conditionalFormatting>
  <conditionalFormatting sqref="A144">
    <cfRule type="expression" priority="63">
      <formula>IF(MOD(#REF!,10)&lt;10,MOD(#REF!,10),IF(#REF!/10&gt;8,MOD(#REF!,80),IF(#REF!/10&gt;7,MOD(#REF!,70),IF(#REF!/10&gt;6,MOD(#REF!,60),IF(#REF!/10&gt;5,MOD(#REF!,50),IF(#REF!/10&gt;4,MOD(#REF!,40),IF(#REF!/10&gt;3,MOD(#REF!,30),IF(#REF!/10&gt;2,MOD(#REF!,20),MOD(#REF!,100)))))))))</formula>
    </cfRule>
  </conditionalFormatting>
  <conditionalFormatting sqref="B191">
    <cfRule type="expression" dxfId="363" priority="62">
      <formula>IF(#REF!&lt;&gt;$I$11,IF(#REF!&lt;&gt;$I$12,IF(#REF!&lt;&gt;$I$13,IF(#REF!&lt;&gt;$J$11,IF(#REF!&lt;&gt;$J$12,IF(#REF!&lt;&gt;$J$13,IF(#REF!&lt;&gt;#REF!,IF(#REF!&lt;&gt;#REF!,IF(#REF!&lt;&gt;#REF!,IF(#REF!&lt;&gt;#REF!,IF(#REF!&lt;&gt;#REF!,TRUE)))))))))))</formula>
    </cfRule>
  </conditionalFormatting>
  <conditionalFormatting sqref="B154">
    <cfRule type="expression" dxfId="362" priority="61">
      <formula>IF(#REF!&lt;&gt;$I$11,IF(#REF!&lt;&gt;$I$12,IF(#REF!&lt;&gt;$I$13,IF(#REF!&lt;&gt;$J$11,IF(#REF!&lt;&gt;$J$12,IF(#REF!&lt;&gt;$J$13,IF(#REF!&lt;&gt;#REF!,IF(#REF!&lt;&gt;#REF!,IF(#REF!&lt;&gt;#REF!,IF(#REF!&lt;&gt;#REF!,IF(#REF!&lt;&gt;#REF!,TRUE)))))))))))</formula>
    </cfRule>
  </conditionalFormatting>
  <conditionalFormatting sqref="A172 A174:A176 A178 A180:A188">
    <cfRule type="expression" priority="60">
      <formula>IF(MOD(#REF!,10)&lt;10,MOD(#REF!,10),IF(#REF!/10&gt;8,MOD(#REF!,80),IF(#REF!/10&gt;7,MOD(#REF!,70),IF(#REF!/10&gt;6,MOD(#REF!,60),IF(#REF!/10&gt;5,MOD(#REF!,50),IF(#REF!/10&gt;4,MOD(#REF!,40),IF(#REF!/10&gt;3,MOD(#REF!,30),IF(#REF!/10&gt;2,MOD(#REF!,20),MOD(#REF!,100)))))))))</formula>
    </cfRule>
  </conditionalFormatting>
  <conditionalFormatting sqref="A148 A143">
    <cfRule type="expression" priority="59">
      <formula>IF(MOD(#REF!,10)&lt;10,MOD(#REF!,10),IF(#REF!/10&gt;8,MOD(#REF!,80),IF(#REF!/10&gt;7,MOD(#REF!,70),IF(#REF!/10&gt;6,MOD(#REF!,60),IF(#REF!/10&gt;5,MOD(#REF!,50),IF(#REF!/10&gt;4,MOD(#REF!,40),IF(#REF!/10&gt;3,MOD(#REF!,30),IF(#REF!/10&gt;2,MOD(#REF!,20),MOD(#REF!,100)))))))))</formula>
    </cfRule>
  </conditionalFormatting>
  <conditionalFormatting sqref="A162">
    <cfRule type="expression" priority="58">
      <formula>IF(MOD(A172,10)&lt;10,MOD(A172,10),IF(A172/10&gt;8,MOD(A172,80),IF(A172/10&gt;7,MOD(A172,70),IF(A172/10&gt;6,MOD(A172,60),IF(A172/10&gt;5,MOD(A172,50),IF(A172/10&gt;4,MOD(A172,40),IF(A172/10&gt;3,MOD(A172,30),IF(A172/10&gt;2,MOD(A172,20),MOD(A172,100)))))))))</formula>
    </cfRule>
  </conditionalFormatting>
  <conditionalFormatting sqref="A189:A191 A180:A183 A116:A117 A120:A121">
    <cfRule type="expression" priority="57">
      <formula>IF(MOD(#REF!,10)&lt;10,MOD(#REF!,10),IF(#REF!/10&gt;8,MOD(#REF!,80),IF(#REF!/10&gt;7,MOD(#REF!,70),IF(#REF!/10&gt;6,MOD(#REF!,60),IF(#REF!/10&gt;5,MOD(#REF!,50),IF(#REF!/10&gt;4,MOD(#REF!,40),IF(#REF!/10&gt;3,MOD(#REF!,30),IF(#REF!/10&gt;2,MOD(#REF!,20),MOD(#REF!,100)))))))))</formula>
    </cfRule>
  </conditionalFormatting>
  <conditionalFormatting sqref="A165">
    <cfRule type="expression" priority="56">
      <formula>IF(MOD(#REF!,10)&lt;10,MOD(#REF!,10),IF(#REF!/10&gt;8,MOD(#REF!,80),IF(#REF!/10&gt;7,MOD(#REF!,70),IF(#REF!/10&gt;6,MOD(#REF!,60),IF(#REF!/10&gt;5,MOD(#REF!,50),IF(#REF!/10&gt;4,MOD(#REF!,40),IF(#REF!/10&gt;3,MOD(#REF!,30),IF(#REF!/10&gt;2,MOD(#REF!,20),MOD(#REF!,100)))))))))</formula>
    </cfRule>
  </conditionalFormatting>
  <conditionalFormatting sqref="A140 A136 A122">
    <cfRule type="expression" priority="55">
      <formula>IF(MOD(#REF!,10)&lt;10,MOD(#REF!,10),IF(#REF!/10&gt;8,MOD(#REF!,80),IF(#REF!/10&gt;7,MOD(#REF!,70),IF(#REF!/10&gt;6,MOD(#REF!,60),IF(#REF!/10&gt;5,MOD(#REF!,50),IF(#REF!/10&gt;4,MOD(#REF!,40),IF(#REF!/10&gt;3,MOD(#REF!,30),IF(#REF!/10&gt;2,MOD(#REF!,20),MOD(#REF!,100)))))))))</formula>
    </cfRule>
  </conditionalFormatting>
  <conditionalFormatting sqref="A127">
    <cfRule type="expression" priority="54">
      <formula>IF(MOD(#REF!,10)&lt;10,MOD(#REF!,10),IF(#REF!/10&gt;8,MOD(#REF!,80),IF(#REF!/10&gt;7,MOD(#REF!,70),IF(#REF!/10&gt;6,MOD(#REF!,60),IF(#REF!/10&gt;5,MOD(#REF!,50),IF(#REF!/10&gt;4,MOD(#REF!,40),IF(#REF!/10&gt;3,MOD(#REF!,30),IF(#REF!/10&gt;2,MOD(#REF!,20),MOD(#REF!,100)))))))))</formula>
    </cfRule>
  </conditionalFormatting>
  <conditionalFormatting sqref="A131">
    <cfRule type="expression" priority="53">
      <formula>IF(MOD(A143,10)&lt;10,MOD(A143,10),IF(A143/10&gt;8,MOD(A143,80),IF(A143/10&gt;7,MOD(A143,70),IF(A143/10&gt;6,MOD(A143,60),IF(A143/10&gt;5,MOD(A143,50),IF(A143/10&gt;4,MOD(A143,40),IF(A143/10&gt;3,MOD(A143,30),IF(A143/10&gt;2,MOD(A143,20),MOD(A143,100)))))))))</formula>
    </cfRule>
  </conditionalFormatting>
  <conditionalFormatting sqref="A161 A125">
    <cfRule type="expression" priority="52">
      <formula>IF(MOD(#REF!,10)&lt;10,MOD(#REF!,10),IF(#REF!/10&gt;8,MOD(#REF!,80),IF(#REF!/10&gt;7,MOD(#REF!,70),IF(#REF!/10&gt;6,MOD(#REF!,60),IF(#REF!/10&gt;5,MOD(#REF!,50),IF(#REF!/10&gt;4,MOD(#REF!,40),IF(#REF!/10&gt;3,MOD(#REF!,30),IF(#REF!/10&gt;2,MOD(#REF!,20),MOD(#REF!,100)))))))))</formula>
    </cfRule>
  </conditionalFormatting>
  <conditionalFormatting sqref="A147 A135:A142 A149 A151 A153 A155 A157 A159 A161 A163 A165 A167">
    <cfRule type="expression" priority="51">
      <formula>IF(MOD(#REF!,10)&lt;10,MOD(#REF!,10),IF(#REF!/10&gt;8,MOD(#REF!,80),IF(#REF!/10&gt;7,MOD(#REF!,70),IF(#REF!/10&gt;6,MOD(#REF!,60),IF(#REF!/10&gt;5,MOD(#REF!,50),IF(#REF!/10&gt;4,MOD(#REF!,40),IF(#REF!/10&gt;3,MOD(#REF!,30),IF(#REF!/10&gt;2,MOD(#REF!,20),MOD(#REF!,100)))))))))</formula>
    </cfRule>
  </conditionalFormatting>
  <conditionalFormatting sqref="A138:A139">
    <cfRule type="expression" priority="50">
      <formula>IF(MOD(#REF!,10)&lt;10,MOD(#REF!,10),IF(#REF!/10&gt;8,MOD(#REF!,80),IF(#REF!/10&gt;7,MOD(#REF!,70),IF(#REF!/10&gt;6,MOD(#REF!,60),IF(#REF!/10&gt;5,MOD(#REF!,50),IF(#REF!/10&gt;4,MOD(#REF!,40),IF(#REF!/10&gt;3,MOD(#REF!,30),IF(#REF!/10&gt;2,MOD(#REF!,20),MOD(#REF!,100)))))))))</formula>
    </cfRule>
  </conditionalFormatting>
  <conditionalFormatting sqref="A146:A167">
    <cfRule type="expression" priority="49">
      <formula>IF(MOD(#REF!,10)&lt;10,MOD(#REF!,10),IF(#REF!/10&gt;8,MOD(#REF!,80),IF(#REF!/10&gt;7,MOD(#REF!,70),IF(#REF!/10&gt;6,MOD(#REF!,60),IF(#REF!/10&gt;5,MOD(#REF!,50),IF(#REF!/10&gt;4,MOD(#REF!,40),IF(#REF!/10&gt;3,MOD(#REF!,30),IF(#REF!/10&gt;2,MOD(#REF!,20),MOD(#REF!,100)))))))))</formula>
    </cfRule>
  </conditionalFormatting>
  <conditionalFormatting sqref="A147 A149 A151">
    <cfRule type="expression" priority="48">
      <formula>IF(MOD(A162,10)&lt;10,MOD(A162,10),IF(A162/10&gt;8,MOD(A162,80),IF(A162/10&gt;7,MOD(A162,70),IF(A162/10&gt;6,MOD(A162,60),IF(A162/10&gt;5,MOD(A162,50),IF(A162/10&gt;4,MOD(A162,40),IF(A162/10&gt;3,MOD(A162,30),IF(A162/10&gt;2,MOD(A162,20),MOD(A162,100)))))))))</formula>
    </cfRule>
  </conditionalFormatting>
  <conditionalFormatting sqref="A145:A146 A148 A150:A152 A154 A156 A158 A160 A162 A164 A166">
    <cfRule type="expression" priority="47">
      <formula>IF(MOD(#REF!,10)&lt;10,MOD(#REF!,10),IF(#REF!/10&gt;8,MOD(#REF!,80),IF(#REF!/10&gt;7,MOD(#REF!,70),IF(#REF!/10&gt;6,MOD(#REF!,60),IF(#REF!/10&gt;5,MOD(#REF!,50),IF(#REF!/10&gt;4,MOD(#REF!,40),IF(#REF!/10&gt;3,MOD(#REF!,30),IF(#REF!/10&gt;2,MOD(#REF!,20),MOD(#REF!,100)))))))))</formula>
    </cfRule>
  </conditionalFormatting>
  <conditionalFormatting sqref="A151:A153">
    <cfRule type="expression" priority="46">
      <formula>IF(MOD(A162,10)&lt;10,MOD(A162,10),IF(A162/10&gt;8,MOD(A162,80),IF(A162/10&gt;7,MOD(A162,70),IF(A162/10&gt;6,MOD(A162,60),IF(A162/10&gt;5,MOD(A162,50),IF(A162/10&gt;4,MOD(A162,40),IF(A162/10&gt;3,MOD(A162,30),IF(A162/10&gt;2,MOD(A162,20),MOD(A162,100)))))))))</formula>
    </cfRule>
  </conditionalFormatting>
  <conditionalFormatting sqref="A150">
    <cfRule type="expression" priority="45">
      <formula>IF(MOD(A162,10)&lt;10,MOD(A162,10),IF(A162/10&gt;8,MOD(A162,80),IF(A162/10&gt;7,MOD(A162,70),IF(A162/10&gt;6,MOD(A162,60),IF(A162/10&gt;5,MOD(A162,50),IF(A162/10&gt;4,MOD(A162,40),IF(A162/10&gt;3,MOD(A162,30),IF(A162/10&gt;2,MOD(A162,20),MOD(A162,100)))))))))</formula>
    </cfRule>
  </conditionalFormatting>
  <conditionalFormatting sqref="B155:B156">
    <cfRule type="expression" dxfId="361" priority="44">
      <formula>IF($E140&lt;&gt;$I$11,IF($E140&lt;&gt;$I$12,IF($E140&lt;&gt;$I$13,IF($E140&lt;&gt;$J$11,IF($E140&lt;&gt;$J$12,IF($E140&lt;&gt;$J$13,IF($E140&lt;&gt;#REF!,IF($E140&lt;&gt;#REF!,IF($E140&lt;&gt;#REF!,IF($E140&lt;&gt;#REF!,IF($E140&lt;&gt;#REF!,TRUE)))))))))))</formula>
    </cfRule>
  </conditionalFormatting>
  <conditionalFormatting sqref="C155:C156">
    <cfRule type="duplicateValues" dxfId="360" priority="43"/>
  </conditionalFormatting>
  <conditionalFormatting sqref="A143">
    <cfRule type="expression" priority="42">
      <formula>IF(MOD(A158,10)&lt;10,MOD(A158,10),IF(A158/10&gt;8,MOD(A158,80),IF(A158/10&gt;7,MOD(A158,70),IF(A158/10&gt;6,MOD(A158,60),IF(A158/10&gt;5,MOD(A158,50),IF(A158/10&gt;4,MOD(A158,40),IF(A158/10&gt;3,MOD(A158,30),IF(A158/10&gt;2,MOD(A158,20),MOD(A158,100)))))))))</formula>
    </cfRule>
  </conditionalFormatting>
  <conditionalFormatting sqref="A164">
    <cfRule type="expression" priority="41">
      <formula>IF(MOD(#REF!,10)&lt;10,MOD(#REF!,10),IF(#REF!/10&gt;8,MOD(#REF!,80),IF(#REF!/10&gt;7,MOD(#REF!,70),IF(#REF!/10&gt;6,MOD(#REF!,60),IF(#REF!/10&gt;5,MOD(#REF!,50),IF(#REF!/10&gt;4,MOD(#REF!,40),IF(#REF!/10&gt;3,MOD(#REF!,30),IF(#REF!/10&gt;2,MOD(#REF!,20),MOD(#REF!,100)))))))))</formula>
    </cfRule>
  </conditionalFormatting>
  <conditionalFormatting sqref="A185:A190">
    <cfRule type="expression" priority="40">
      <formula>IF(MOD(#REF!,10)&lt;10,MOD(#REF!,10),IF(#REF!/10&gt;8,MOD(#REF!,80),IF(#REF!/10&gt;7,MOD(#REF!,70),IF(#REF!/10&gt;6,MOD(#REF!,60),IF(#REF!/10&gt;5,MOD(#REF!,50),IF(#REF!/10&gt;4,MOD(#REF!,40),IF(#REF!/10&gt;3,MOD(#REF!,30),IF(#REF!/10&gt;2,MOD(#REF!,20),MOD(#REF!,100)))))))))</formula>
    </cfRule>
  </conditionalFormatting>
  <conditionalFormatting sqref="C168:C169">
    <cfRule type="duplicateValues" dxfId="359" priority="39"/>
  </conditionalFormatting>
  <conditionalFormatting sqref="A153 A182:A183">
    <cfRule type="expression" priority="38">
      <formula>IF(MOD(A167,10)&lt;10,MOD(A167,10),IF(A167/10&gt;8,MOD(A167,80),IF(A167/10&gt;7,MOD(A167,70),IF(A167/10&gt;6,MOD(A167,60),IF(A167/10&gt;5,MOD(A167,50),IF(A167/10&gt;4,MOD(A167,40),IF(A167/10&gt;3,MOD(A167,30),IF(A167/10&gt;2,MOD(A167,20),MOD(A167,100)))))))))</formula>
    </cfRule>
  </conditionalFormatting>
  <conditionalFormatting sqref="A144:A145">
    <cfRule type="expression" priority="103">
      <formula>IF(MOD(#REF!,10)&lt;10,MOD(#REF!,10),IF(#REF!/10&gt;8,MOD(#REF!,80),IF(#REF!/10&gt;7,MOD(#REF!,70),IF(#REF!/10&gt;6,MOD(#REF!,60),IF(#REF!/10&gt;5,MOD(#REF!,50),IF(#REF!/10&gt;4,MOD(#REF!,40),IF(#REF!/10&gt;3,MOD(#REF!,30),IF(#REF!/10&gt;2,MOD(#REF!,20),MOD(#REF!,100)))))))))</formula>
    </cfRule>
  </conditionalFormatting>
  <conditionalFormatting sqref="E198:E199 E190:E191 E188 E184:E185 E176 E179:E181 E173:E174 E170:E171 E166 E127 E142 E139:E140 E129 E132:E133">
    <cfRule type="expression" dxfId="358" priority="37">
      <formula>IF(ISBLANK(E127),FALSE,IF(IF(ISNUMBER($G$8),IF(YEAR(TODAY())-$G$8&lt;=E127,FALSE,TRUE),FALSE),TRUE,IF(ISNUMBER($E$8),IF(YEAR(TODAY())-$E$8&lt;E127,TRUE,FALSE),FALSE)))</formula>
    </cfRule>
  </conditionalFormatting>
  <conditionalFormatting sqref="A196:A198 A189 A181 A161 A155 A141 A134 A127">
    <cfRule type="expression" priority="36">
      <formula>IF(MOD(#REF!,10)&lt;10,MOD(#REF!,10),IF(#REF!/10&gt;8,MOD(#REF!,80),IF(#REF!/10&gt;7,MOD(#REF!,70),IF(#REF!/10&gt;6,MOD(#REF!,60),IF(#REF!/10&gt;5,MOD(#REF!,50),IF(#REF!/10&gt;4,MOD(#REF!,40),IF(#REF!/10&gt;3,MOD(#REF!,30),IF(#REF!/10&gt;2,MOD(#REF!,20),MOD(#REF!,100)))))))))</formula>
    </cfRule>
  </conditionalFormatting>
  <conditionalFormatting sqref="A156">
    <cfRule type="expression" priority="35">
      <formula>IF(MOD(A191,10)&lt;10,MOD(A191,10),IF(A191/10&gt;8,MOD(A191,80),IF(A191/10&gt;7,MOD(A191,70),IF(A191/10&gt;6,MOD(A191,60),IF(A191/10&gt;5,MOD(A191,50),IF(A191/10&gt;4,MOD(A191,40),IF(A191/10&gt;3,MOD(A191,30),IF(A191/10&gt;2,MOD(A191,20),MOD(A191,100)))))))))</formula>
    </cfRule>
  </conditionalFormatting>
  <conditionalFormatting sqref="A148">
    <cfRule type="expression" priority="34">
      <formula>IF(MOD(A184,10)&lt;10,MOD(A184,10),IF(A184/10&gt;8,MOD(A184,80),IF(A184/10&gt;7,MOD(A184,70),IF(A184/10&gt;6,MOD(A184,60),IF(A184/10&gt;5,MOD(A184,50),IF(A184/10&gt;4,MOD(A184,40),IF(A184/10&gt;3,MOD(A184,30),IF(A184/10&gt;2,MOD(A184,20),MOD(A184,100)))))))))</formula>
    </cfRule>
  </conditionalFormatting>
  <conditionalFormatting sqref="A334:A340">
    <cfRule type="expression" priority="33">
      <formula>IF(MOD(A408,10)&lt;10,MOD(A408,10),IF(A408/10&gt;8,MOD(A408,80),IF(A408/10&gt;7,MOD(A408,70),IF(A408/10&gt;6,MOD(A408,60),IF(A408/10&gt;5,MOD(A408,50),IF(A408/10&gt;4,MOD(A408,40),IF(A408/10&gt;3,MOD(A408,30),IF(A408/10&gt;2,MOD(A408,20),MOD(A408,100)))))))))</formula>
    </cfRule>
  </conditionalFormatting>
  <conditionalFormatting sqref="A342:A348">
    <cfRule type="expression" priority="32">
      <formula>IF(MOD(A418,10)&lt;10,MOD(A418,10),IF(A418/10&gt;8,MOD(A418,80),IF(A418/10&gt;7,MOD(A418,70),IF(A418/10&gt;6,MOD(A418,60),IF(A418/10&gt;5,MOD(A418,50),IF(A418/10&gt;4,MOD(A418,40),IF(A418/10&gt;3,MOD(A418,30),IF(A418/10&gt;2,MOD(A418,20),MOD(A418,100)))))))))</formula>
    </cfRule>
  </conditionalFormatting>
  <conditionalFormatting sqref="A350:A356">
    <cfRule type="expression" priority="31">
      <formula>IF(MOD(A428,10)&lt;10,MOD(A428,10),IF(A428/10&gt;8,MOD(A428,80),IF(A428/10&gt;7,MOD(A428,70),IF(A428/10&gt;6,MOD(A428,60),IF(A428/10&gt;5,MOD(A428,50),IF(A428/10&gt;4,MOD(A428,40),IF(A428/10&gt;3,MOD(A428,30),IF(A428/10&gt;2,MOD(A428,20),MOD(A428,100)))))))))</formula>
    </cfRule>
  </conditionalFormatting>
  <conditionalFormatting sqref="A359:A366">
    <cfRule type="expression" priority="30">
      <formula>IF(MOD(A440,10)&lt;10,MOD(A440,10),IF(A440/10&gt;8,MOD(A440,80),IF(A440/10&gt;7,MOD(A440,70),IF(A440/10&gt;6,MOD(A440,60),IF(A440/10&gt;5,MOD(A440,50),IF(A440/10&gt;4,MOD(A440,40),IF(A440/10&gt;3,MOD(A440,30),IF(A440/10&gt;2,MOD(A440,20),MOD(A440,100)))))))))</formula>
    </cfRule>
  </conditionalFormatting>
  <conditionalFormatting sqref="C370:C371">
    <cfRule type="duplicateValues" dxfId="357" priority="29"/>
  </conditionalFormatting>
  <conditionalFormatting sqref="E350:E355 E334:E339 E342:E347 E362:E367 E201:E202 E126 E192:E193 E329:E331">
    <cfRule type="expression" dxfId="356" priority="28">
      <formula>IF(ISBLANK(E126),FALSE,IF(IF(ISNUMBER($E$8),IF(YEAR(TODAY())-$E$8&lt;=E126,FALSE,TRUE),FALSE),TRUE,IF(ISNUMBER($H$8),IF(YEAR(TODAY())-$H$8&lt;E126,TRUE,FALSE),FALSE)))</formula>
    </cfRule>
  </conditionalFormatting>
  <conditionalFormatting sqref="G126">
    <cfRule type="expression" dxfId="355" priority="27">
      <formula>IF(G126&gt;($H$6+$H$7-#REF!),IF((G126+#REF!)&gt;($H$6+$H$7),TRUE,))</formula>
    </cfRule>
  </conditionalFormatting>
  <conditionalFormatting sqref="B344:B345 B347">
    <cfRule type="expression" dxfId="354" priority="26">
      <formula>IF(#REF!&lt;&gt;$I$6,IF(#REF!&lt;&gt;$I$7,IF(#REF!&lt;&gt;$I$8,IF(#REF!&lt;&gt;$J$6,IF(#REF!&lt;&gt;$J$7,IF(#REF!&lt;&gt;$J$8,IF(#REF!&lt;&gt;#REF!,IF(#REF!&lt;&gt;#REF!,IF(#REF!&lt;&gt;#REF!,IF(#REF!&lt;&gt;#REF!,IF(#REF!&lt;&gt;#REF!,TRUE)))))))))))</formula>
    </cfRule>
  </conditionalFormatting>
  <conditionalFormatting sqref="A116 A120">
    <cfRule type="expression" priority="25">
      <formula>IF(MOD(A155,10)&lt;10,MOD(A155,10),IF(A155/10&gt;8,MOD(A155,80),IF(A155/10&gt;7,MOD(A155,70),IF(A155/10&gt;6,MOD(A155,60),IF(A155/10&gt;5,MOD(A155,50),IF(A155/10&gt;4,MOD(A155,40),IF(A155/10&gt;3,MOD(A155,30),IF(A155/10&gt;2,MOD(A155,20),MOD(A155,100)))))))))</formula>
    </cfRule>
  </conditionalFormatting>
  <conditionalFormatting sqref="A192:A193 A159:A160 A205">
    <cfRule type="expression" priority="24">
      <formula>IF(MOD(#REF!,10)&lt;10,MOD(#REF!,10),IF(#REF!/10&gt;8,MOD(#REF!,80),IF(#REF!/10&gt;7,MOD(#REF!,70),IF(#REF!/10&gt;6,MOD(#REF!,60),IF(#REF!/10&gt;5,MOD(#REF!,50),IF(#REF!/10&gt;4,MOD(#REF!,40),IF(#REF!/10&gt;3,MOD(#REF!,30),IF(#REF!/10&gt;2,MOD(#REF!,20),MOD(#REF!,100)))))))))</formula>
    </cfRule>
  </conditionalFormatting>
  <conditionalFormatting sqref="A117 A121">
    <cfRule type="expression" priority="23">
      <formula>IF(MOD(#REF!,10)&lt;10,MOD(#REF!,10),IF(#REF!/10&gt;8,MOD(#REF!,80),IF(#REF!/10&gt;7,MOD(#REF!,70),IF(#REF!/10&gt;6,MOD(#REF!,60),IF(#REF!/10&gt;5,MOD(#REF!,50),IF(#REF!/10&gt;4,MOD(#REF!,40),IF(#REF!/10&gt;3,MOD(#REF!,30),IF(#REF!/10&gt;2,MOD(#REF!,20),MOD(#REF!,100)))))))))</formula>
    </cfRule>
  </conditionalFormatting>
  <conditionalFormatting sqref="B192">
    <cfRule type="expression" dxfId="353" priority="22">
      <formula>IF(#REF!&lt;&gt;$I$6,IF(#REF!&lt;&gt;$I$7,IF(#REF!&lt;&gt;$I$8,IF(#REF!&lt;&gt;$J$6,IF(#REF!&lt;&gt;$J$7,IF(#REF!&lt;&gt;$J$8,IF(#REF!&lt;&gt;#REF!,IF(#REF!&lt;&gt;#REF!,IF(#REF!&lt;&gt;#REF!,IF(#REF!&lt;&gt;#REF!,IF(#REF!&lt;&gt;#REF!,TRUE)))))))))))</formula>
    </cfRule>
  </conditionalFormatting>
  <conditionalFormatting sqref="A329:A332">
    <cfRule type="expression" priority="21">
      <formula>IF(MOD(A402,10)&lt;10,MOD(A402,10),IF(A402/10&gt;8,MOD(A402,80),IF(A402/10&gt;7,MOD(A402,70),IF(A402/10&gt;6,MOD(A402,60),IF(A402/10&gt;5,MOD(A402,50),IF(A402/10&gt;4,MOD(A402,40),IF(A402/10&gt;3,MOD(A402,30),IF(A402/10&gt;2,MOD(A402,20),MOD(A402,100)))))))))</formula>
    </cfRule>
  </conditionalFormatting>
  <conditionalFormatting sqref="B354">
    <cfRule type="expression" dxfId="352" priority="20">
      <formula>IF(#REF!&lt;&gt;$I$6,IF(#REF!&lt;&gt;$I$7,IF(#REF!&lt;&gt;$I$8,IF(#REF!&lt;&gt;$J$6,IF(#REF!&lt;&gt;$J$7,IF(#REF!&lt;&gt;$J$8,IF(#REF!&lt;&gt;#REF!,IF(#REF!&lt;&gt;#REF!,IF(#REF!&lt;&gt;#REF!,IF(#REF!&lt;&gt;#REF!,IF(#REF!&lt;&gt;#REF!,TRUE)))))))))))</formula>
    </cfRule>
  </conditionalFormatting>
  <conditionalFormatting sqref="A201 A157:A158">
    <cfRule type="expression" priority="19">
      <formula>IF(MOD(#REF!,10)&lt;10,MOD(#REF!,10),IF(#REF!/10&gt;8,MOD(#REF!,80),IF(#REF!/10&gt;7,MOD(#REF!,70),IF(#REF!/10&gt;6,MOD(#REF!,60),IF(#REF!/10&gt;5,MOD(#REF!,50),IF(#REF!/10&gt;4,MOD(#REF!,40),IF(#REF!/10&gt;3,MOD(#REF!,30),IF(#REF!/10&gt;2,MOD(#REF!,20),MOD(#REF!,100)))))))))</formula>
    </cfRule>
  </conditionalFormatting>
  <conditionalFormatting sqref="A170 A147 A138:A139 A131:A132 A149 A151:A153 A155 A157 A159 A161 A163 A165 A167">
    <cfRule type="expression" priority="18">
      <formula>IF(MOD(#REF!,10)&lt;10,MOD(#REF!,10),IF(#REF!/10&gt;8,MOD(#REF!,80),IF(#REF!/10&gt;7,MOD(#REF!,70),IF(#REF!/10&gt;6,MOD(#REF!,60),IF(#REF!/10&gt;5,MOD(#REF!,50),IF(#REF!/10&gt;4,MOD(#REF!,40),IF(#REF!/10&gt;3,MOD(#REF!,30),IF(#REF!/10&gt;2,MOD(#REF!,20),MOD(#REF!,100)))))))))</formula>
    </cfRule>
  </conditionalFormatting>
  <conditionalFormatting sqref="B185">
    <cfRule type="expression" dxfId="351" priority="17">
      <formula>IF(#REF!&lt;&gt;$H$6,IF(#REF!&lt;&gt;$H$7,IF(#REF!&lt;&gt;$H$8,IF(#REF!&lt;&gt;$I$6,IF(B185&lt;&gt;$I$7,IF(#REF!&lt;&gt;$I$8,IF(#REF!&lt;&gt;$L$6,IF(#REF!&lt;&gt;$L$7,IF(#REF!&lt;&gt;$L$8,IF(#REF!&lt;&gt;$N$6,IF(#REF!&lt;&gt;$N$7,TRUE)))))))))))</formula>
    </cfRule>
  </conditionalFormatting>
  <conditionalFormatting sqref="A124 A148 A150 A152 A154">
    <cfRule type="expression" priority="16">
      <formula>IF(MOD(A161,10)&lt;10,MOD(A161,10),IF(A161/10&gt;8,MOD(A161,80),IF(A161/10&gt;7,MOD(A161,70),IF(A161/10&gt;6,MOD(A161,60),IF(A161/10&gt;5,MOD(A161,50),IF(A161/10&gt;4,MOD(A161,40),IF(A161/10&gt;3,MOD(A161,30),IF(A161/10&gt;2,MOD(A161,20),MOD(A161,100)))))))))</formula>
    </cfRule>
  </conditionalFormatting>
  <conditionalFormatting sqref="B190:B191 B172 B142 B140">
    <cfRule type="expression" dxfId="350" priority="15">
      <formula>IF(#REF!&lt;&gt;$H$6,IF(#REF!&lt;&gt;$H$7,IF(#REF!&lt;&gt;$H$8,IF(#REF!&lt;&gt;$I$6,IF(B140&lt;&gt;$I$7,IF(#REF!&lt;&gt;$I$8,IF(#REF!&lt;&gt;$L$6,IF(#REF!&lt;&gt;$L$7,IF(#REF!&lt;&gt;$L$8,IF(#REF!&lt;&gt;$N$6,IF(#REF!&lt;&gt;$N$7,TRUE)))))))))))</formula>
    </cfRule>
  </conditionalFormatting>
  <conditionalFormatting sqref="A143">
    <cfRule type="expression" priority="14">
      <formula>IF(MOD(A177,10)&lt;10,MOD(A177,10),IF(A177/10&gt;8,MOD(A177,80),IF(A177/10&gt;7,MOD(A177,70),IF(A177/10&gt;6,MOD(A177,60),IF(A177/10&gt;5,MOD(A177,50),IF(A177/10&gt;4,MOD(A177,40),IF(A177/10&gt;3,MOD(A177,30),IF(A177/10&gt;2,MOD(A177,20),MOD(A177,100)))))))))</formula>
    </cfRule>
  </conditionalFormatting>
  <conditionalFormatting sqref="A146">
    <cfRule type="expression" priority="13">
      <formula>IF(MOD(A183,10)&lt;10,MOD(A183,10),IF(A183/10&gt;8,MOD(A183,80),IF(A183/10&gt;7,MOD(A183,70),IF(A183/10&gt;6,MOD(A183,60),IF(A183/10&gt;5,MOD(A183,50),IF(A183/10&gt;4,MOD(A183,40),IF(A183/10&gt;3,MOD(A183,30),IF(A183/10&gt;2,MOD(A183,20),MOD(A183,100)))))))))</formula>
    </cfRule>
  </conditionalFormatting>
  <conditionalFormatting sqref="A154">
    <cfRule type="expression" priority="12">
      <formula>IF(MOD(A190,10)&lt;10,MOD(A190,10),IF(A190/10&gt;8,MOD(A190,80),IF(A190/10&gt;7,MOD(A190,70),IF(A190/10&gt;6,MOD(A190,60),IF(A190/10&gt;5,MOD(A190,50),IF(A190/10&gt;4,MOD(A190,40),IF(A190/10&gt;3,MOD(A190,30),IF(A190/10&gt;2,MOD(A190,20),MOD(A190,100)))))))))</formula>
    </cfRule>
  </conditionalFormatting>
  <conditionalFormatting sqref="A166:A167 A171:A189">
    <cfRule type="expression" priority="11">
      <formula>IF(MOD(#REF!,10)&lt;10,MOD(#REF!,10),IF(#REF!/10&gt;8,MOD(#REF!,80),IF(#REF!/10&gt;7,MOD(#REF!,70),IF(#REF!/10&gt;6,MOD(#REF!,60),IF(#REF!/10&gt;5,MOD(#REF!,50),IF(#REF!/10&gt;4,MOD(#REF!,40),IF(#REF!/10&gt;3,MOD(#REF!,30),IF(#REF!/10&gt;2,MOD(#REF!,20),MOD(#REF!,100)))))))))</formula>
    </cfRule>
  </conditionalFormatting>
  <conditionalFormatting sqref="B179:B180">
    <cfRule type="expression" dxfId="349" priority="10">
      <formula>IF(#REF!&lt;&gt;$H$6,IF(#REF!&lt;&gt;$H$7,IF(#REF!&lt;&gt;$H$8,IF(#REF!&lt;&gt;$I$6,IF(B179&lt;&gt;$I$7,IF(#REF!&lt;&gt;$I$8,IF(#REF!&lt;&gt;$L$6,IF(#REF!&lt;&gt;$L$7,IF(#REF!&lt;&gt;$L$8,IF(#REF!&lt;&gt;$N$6,IF(#REF!&lt;&gt;$N$7,TRUE)))))))))))</formula>
    </cfRule>
  </conditionalFormatting>
  <conditionalFormatting sqref="A149:A150">
    <cfRule type="expression" priority="9">
      <formula>IF(MOD(#REF!,10)&lt;10,MOD(#REF!,10),IF(#REF!/10&gt;8,MOD(#REF!,80),IF(#REF!/10&gt;7,MOD(#REF!,70),IF(#REF!/10&gt;6,MOD(#REF!,60),IF(#REF!/10&gt;5,MOD(#REF!,50),IF(#REF!/10&gt;4,MOD(#REF!,40),IF(#REF!/10&gt;3,MOD(#REF!,30),IF(#REF!/10&gt;2,MOD(#REF!,20),MOD(#REF!,100)))))))))</formula>
    </cfRule>
  </conditionalFormatting>
  <conditionalFormatting sqref="B171">
    <cfRule type="expression" dxfId="348" priority="8">
      <formula>IF(#REF!&lt;&gt;$H$6,IF(#REF!&lt;&gt;$H$7,IF(#REF!&lt;&gt;$H$8,IF(#REF!&lt;&gt;$I$6,IF(B171&lt;&gt;$I$7,IF(#REF!&lt;&gt;$I$8,IF(#REF!&lt;&gt;$L$6,IF(#REF!&lt;&gt;$L$7,IF(#REF!&lt;&gt;$L$8,IF(#REF!&lt;&gt;$N$6,IF(#REF!&lt;&gt;$N$7,TRUE)))))))))))</formula>
    </cfRule>
  </conditionalFormatting>
  <conditionalFormatting sqref="B170">
    <cfRule type="expression" dxfId="347" priority="7">
      <formula>IF(#REF!&lt;&gt;$H$6,IF(#REF!&lt;&gt;$H$7,IF(#REF!&lt;&gt;$H$8,IF(#REF!&lt;&gt;$I$6,IF(B170&lt;&gt;$I$7,IF(#REF!&lt;&gt;$I$8,IF(#REF!&lt;&gt;$L$6,IF(#REF!&lt;&gt;$L$7,IF(#REF!&lt;&gt;$L$8,IF(#REF!&lt;&gt;$N$6,IF(#REF!&lt;&gt;$N$7,TRUE)))))))))))</formula>
    </cfRule>
  </conditionalFormatting>
  <conditionalFormatting sqref="A177:A179">
    <cfRule type="expression" priority="6">
      <formula>IF(MOD(#REF!,10)&lt;10,MOD(#REF!,10),IF(#REF!/10&gt;8,MOD(#REF!,80),IF(#REF!/10&gt;7,MOD(#REF!,70),IF(#REF!/10&gt;6,MOD(#REF!,60),IF(#REF!/10&gt;5,MOD(#REF!,50),IF(#REF!/10&gt;4,MOD(#REF!,40),IF(#REF!/10&gt;3,MOD(#REF!,30),IF(#REF!/10&gt;2,MOD(#REF!,20),MOD(#REF!,100)))))))))</formula>
    </cfRule>
  </conditionalFormatting>
  <conditionalFormatting sqref="A180">
    <cfRule type="expression" priority="5">
      <formula>IF(MOD(A195,10)&lt;10,MOD(A195,10),IF(A195/10&gt;8,MOD(A195,80),IF(A195/10&gt;7,MOD(A195,70),IF(A195/10&gt;6,MOD(A195,60),IF(A195/10&gt;5,MOD(A195,50),IF(A195/10&gt;4,MOD(A195,40),IF(A195/10&gt;3,MOD(A195,30),IF(A195/10&gt;2,MOD(A195,20),MOD(A195,100)))))))))</formula>
    </cfRule>
  </conditionalFormatting>
  <conditionalFormatting sqref="A125">
    <cfRule type="expression" priority="4">
      <formula>IF(MOD(#REF!,10)&lt;10,MOD(#REF!,10),IF(#REF!/10&gt;8,MOD(#REF!,80),IF(#REF!/10&gt;7,MOD(#REF!,70),IF(#REF!/10&gt;6,MOD(#REF!,60),IF(#REF!/10&gt;5,MOD(#REF!,50),IF(#REF!/10&gt;4,MOD(#REF!,40),IF(#REF!/10&gt;3,MOD(#REF!,30),IF(#REF!/10&gt;2,MOD(#REF!,20),MOD(#REF!,100)))))))))</formula>
    </cfRule>
  </conditionalFormatting>
  <conditionalFormatting sqref="A118:A120 A122:A123">
    <cfRule type="expression" priority="3">
      <formula>IF(MOD(A156,10)&lt;10,MOD(A156,10),IF(A156/10&gt;8,MOD(A156,80),IF(A156/10&gt;7,MOD(A156,70),IF(A156/10&gt;6,MOD(A156,60),IF(A156/10&gt;5,MOD(A156,50),IF(A156/10&gt;4,MOD(A156,40),IF(A156/10&gt;3,MOD(A156,30),IF(A156/10&gt;2,MOD(A156,20),MOD(A156,100)))))))))</formula>
    </cfRule>
  </conditionalFormatting>
  <conditionalFormatting sqref="A144">
    <cfRule type="expression" priority="2">
      <formula>IF(MOD(A147,10)&lt;10,MOD(A147,10),IF(A147/10&gt;8,MOD(A147,80),IF(A147/10&gt;7,MOD(A147,70),IF(A147/10&gt;6,MOD(A147,60),IF(A147/10&gt;5,MOD(A147,50),IF(A147/10&gt;4,MOD(A147,40),IF(A147/10&gt;3,MOD(A147,30),IF(A147/10&gt;2,MOD(A147,20),MOD(A147,100)))))))))</formula>
    </cfRule>
  </conditionalFormatting>
  <conditionalFormatting sqref="B174">
    <cfRule type="expression" dxfId="346" priority="1">
      <formula>IF(#REF!&lt;&gt;$H$6,IF(#REF!&lt;&gt;$H$7,IF(#REF!&lt;&gt;$H$8,IF(#REF!&lt;&gt;$I$6,IF(B174&lt;&gt;$I$7,IF(#REF!&lt;&gt;$I$8,IF(#REF!&lt;&gt;$L$6,IF(#REF!&lt;&gt;$L$7,IF(#REF!&lt;&gt;$L$8,IF(#REF!&lt;&gt;$N$6,IF(#REF!&lt;&gt;$N$7,TRUE)))))))))))</formula>
    </cfRule>
  </conditionalFormatting>
  <conditionalFormatting sqref="C114:C115">
    <cfRule type="duplicateValues" dxfId="345" priority="104"/>
  </conditionalFormatting>
  <conditionalFormatting sqref="A166">
    <cfRule type="expression" priority="105">
      <formula>IF(MOD(A172,10)&lt;10,MOD(A172,10),IF(A172/10&gt;8,MOD(A172,80),IF(A172/10&gt;7,MOD(A172,70),IF(A172/10&gt;6,MOD(A172,60),IF(A172/10&gt;5,MOD(A172,50),IF(A172/10&gt;4,MOD(A172,40),IF(A172/10&gt;3,MOD(A172,30),IF(A172/10&gt;2,MOD(A172,20),MOD(A172,100)))))))))</formula>
    </cfRule>
  </conditionalFormatting>
  <conditionalFormatting sqref="A173:A174 A124">
    <cfRule type="expression" priority="106">
      <formula>IF(MOD(#REF!,10)&lt;10,MOD(#REF!,10),IF(#REF!/10&gt;8,MOD(#REF!,80),IF(#REF!/10&gt;7,MOD(#REF!,70),IF(#REF!/10&gt;6,MOD(#REF!,60),IF(#REF!/10&gt;5,MOD(#REF!,50),IF(#REF!/10&gt;4,MOD(#REF!,40),IF(#REF!/10&gt;3,MOD(#REF!,30),IF(#REF!/10&gt;2,MOD(#REF!,20),MOD(#REF!,100)))))))))</formula>
    </cfRule>
  </conditionalFormatting>
  <conditionalFormatting sqref="A133:A134">
    <cfRule type="expression" priority="107">
      <formula>IF(MOD(#REF!,10)&lt;10,MOD(#REF!,10),IF(#REF!/10&gt;8,MOD(#REF!,80),IF(#REF!/10&gt;7,MOD(#REF!,70),IF(#REF!/10&gt;6,MOD(#REF!,60),IF(#REF!/10&gt;5,MOD(#REF!,50),IF(#REF!/10&gt;4,MOD(#REF!,40),IF(#REF!/10&gt;3,MOD(#REF!,30),IF(#REF!/10&gt;2,MOD(#REF!,20),MOD(#REF!,100)))))))))</formula>
    </cfRule>
  </conditionalFormatting>
  <conditionalFormatting sqref="A133">
    <cfRule type="expression" priority="108">
      <formula>IF(MOD(#REF!,10)&lt;10,MOD(#REF!,10),IF(#REF!/10&gt;8,MOD(#REF!,80),IF(#REF!/10&gt;7,MOD(#REF!,70),IF(#REF!/10&gt;6,MOD(#REF!,60),IF(#REF!/10&gt;5,MOD(#REF!,50),IF(#REF!/10&gt;4,MOD(#REF!,40),IF(#REF!/10&gt;3,MOD(#REF!,30),IF(#REF!/10&gt;2,MOD(#REF!,20),MOD(#REF!,100)))))))))</formula>
    </cfRule>
  </conditionalFormatting>
  <conditionalFormatting sqref="A167 A165">
    <cfRule type="expression" priority="109">
      <formula>IF(MOD(A170,10)&lt;10,MOD(A170,10),IF(A170/10&gt;8,MOD(A170,80),IF(A170/10&gt;7,MOD(A170,70),IF(A170/10&gt;6,MOD(A170,60),IF(A170/10&gt;5,MOD(A170,50),IF(A170/10&gt;4,MOD(A170,40),IF(A170/10&gt;3,MOD(A170,30),IF(A170/10&gt;2,MOD(A170,20),MOD(A170,100)))))))))</formula>
    </cfRule>
  </conditionalFormatting>
  <conditionalFormatting sqref="A145 A199:A200">
    <cfRule type="expression" priority="110">
      <formula>IF(MOD(#REF!,10)&lt;10,MOD(#REF!,10),IF(#REF!/10&gt;8,MOD(#REF!,80),IF(#REF!/10&gt;7,MOD(#REF!,70),IF(#REF!/10&gt;6,MOD(#REF!,60),IF(#REF!/10&gt;5,MOD(#REF!,50),IF(#REF!/10&gt;4,MOD(#REF!,40),IF(#REF!/10&gt;3,MOD(#REF!,30),IF(#REF!/10&gt;2,MOD(#REF!,20),MOD(#REF!,100)))))))))</formula>
    </cfRule>
  </conditionalFormatting>
  <conditionalFormatting sqref="A167 A119:A120 A123">
    <cfRule type="expression" priority="111">
      <formula>IF(MOD(#REF!,10)&lt;10,MOD(#REF!,10),IF(#REF!/10&gt;8,MOD(#REF!,80),IF(#REF!/10&gt;7,MOD(#REF!,70),IF(#REF!/10&gt;6,MOD(#REF!,60),IF(#REF!/10&gt;5,MOD(#REF!,50),IF(#REF!/10&gt;4,MOD(#REF!,40),IF(#REF!/10&gt;3,MOD(#REF!,30),IF(#REF!/10&gt;2,MOD(#REF!,20),MOD(#REF!,100)))))))))</formula>
    </cfRule>
  </conditionalFormatting>
  <conditionalFormatting sqref="A170:A171 A173 A175 A177 A179 A181 A183 A185 A187 A163:A165 A144 A167">
    <cfRule type="expression" priority="112">
      <formula>IF(MOD(#REF!,10)&lt;10,MOD(#REF!,10),IF(#REF!/10&gt;8,MOD(#REF!,80),IF(#REF!/10&gt;7,MOD(#REF!,70),IF(#REF!/10&gt;6,MOD(#REF!,60),IF(#REF!/10&gt;5,MOD(#REF!,50),IF(#REF!/10&gt;4,MOD(#REF!,40),IF(#REF!/10&gt;3,MOD(#REF!,30),IF(#REF!/10&gt;2,MOD(#REF!,20),MOD(#REF!,100)))))))))</formula>
    </cfRule>
  </conditionalFormatting>
  <conditionalFormatting sqref="A162">
    <cfRule type="expression" priority="113">
      <formula>IF(MOD(#REF!,10)&lt;10,MOD(#REF!,10),IF(#REF!/10&gt;8,MOD(#REF!,80),IF(#REF!/10&gt;7,MOD(#REF!,70),IF(#REF!/10&gt;6,MOD(#REF!,60),IF(#REF!/10&gt;5,MOD(#REF!,50),IF(#REF!/10&gt;4,MOD(#REF!,40),IF(#REF!/10&gt;3,MOD(#REF!,30),IF(#REF!/10&gt;2,MOD(#REF!,20),MOD(#REF!,100)))))))))</formula>
    </cfRule>
  </conditionalFormatting>
  <conditionalFormatting sqref="B198">
    <cfRule type="expression" dxfId="344" priority="114">
      <formula>IF($B193&lt;&gt;$H$6,IF($B193&lt;&gt;$H$7,IF($B193&lt;&gt;$H$8,IF($B193&lt;&gt;$I$6,IF(B198&lt;&gt;$I$7,IF($B193&lt;&gt;$I$8,IF($B193&lt;&gt;$L$6,IF($B193&lt;&gt;$L$7,IF($B193&lt;&gt;$L$8,IF($B193&lt;&gt;$N$6,IF($B193&lt;&gt;$N$7,TRUE)))))))))))</formula>
    </cfRule>
  </conditionalFormatting>
  <conditionalFormatting sqref="A176:A179 A140">
    <cfRule type="expression" priority="115">
      <formula>IF(MOD(#REF!,10)&lt;10,MOD(#REF!,10),IF(#REF!/10&gt;8,MOD(#REF!,80),IF(#REF!/10&gt;7,MOD(#REF!,70),IF(#REF!/10&gt;6,MOD(#REF!,60),IF(#REF!/10&gt;5,MOD(#REF!,50),IF(#REF!/10&gt;4,MOD(#REF!,40),IF(#REF!/10&gt;3,MOD(#REF!,30),IF(#REF!/10&gt;2,MOD(#REF!,20),MOD(#REF!,100)))))))))</formula>
    </cfRule>
  </conditionalFormatting>
  <conditionalFormatting sqref="A134">
    <cfRule type="expression" priority="116">
      <formula>IF(MOD(#REF!,10)&lt;10,MOD(#REF!,10),IF(#REF!/10&gt;8,MOD(#REF!,80),IF(#REF!/10&gt;7,MOD(#REF!,70),IF(#REF!/10&gt;6,MOD(#REF!,60),IF(#REF!/10&gt;5,MOD(#REF!,50),IF(#REF!/10&gt;4,MOD(#REF!,40),IF(#REF!/10&gt;3,MOD(#REF!,30),IF(#REF!/10&gt;2,MOD(#REF!,20),MOD(#REF!,100)))))))))</formula>
    </cfRule>
  </conditionalFormatting>
  <conditionalFormatting sqref="A151">
    <cfRule type="expression" priority="117">
      <formula>IF(MOD(A161,10)&lt;10,MOD(A161,10),IF(A161/10&gt;8,MOD(A161,80),IF(A161/10&gt;7,MOD(A161,70),IF(A161/10&gt;6,MOD(A161,60),IF(A161/10&gt;5,MOD(A161,50),IF(A161/10&gt;4,MOD(A161,40),IF(A161/10&gt;3,MOD(A161,30),IF(A161/10&gt;2,MOD(A161,20),MOD(A161,100)))))))))</formula>
    </cfRule>
  </conditionalFormatting>
  <conditionalFormatting sqref="A159:A160">
    <cfRule type="expression" priority="118">
      <formula>IF(MOD(#REF!,10)&lt;10,MOD(#REF!,10),IF(#REF!/10&gt;8,MOD(#REF!,80),IF(#REF!/10&gt;7,MOD(#REF!,70),IF(#REF!/10&gt;6,MOD(#REF!,60),IF(#REF!/10&gt;5,MOD(#REF!,50),IF(#REF!/10&gt;4,MOD(#REF!,40),IF(#REF!/10&gt;3,MOD(#REF!,30),IF(#REF!/10&gt;2,MOD(#REF!,20),MOD(#REF!,100)))))))))</formula>
    </cfRule>
  </conditionalFormatting>
  <conditionalFormatting sqref="H198:H199">
    <cfRule type="expression" dxfId="343" priority="119">
      <formula>IF(ISNUMBER(H198),IF(((YEAR(TODAY()))-12)&gt;=E198,FALSE,TRUE))</formula>
    </cfRule>
  </conditionalFormatting>
  <conditionalFormatting sqref="A140">
    <cfRule type="expression" priority="120">
      <formula>IF(MOD(#REF!,10)&lt;10,MOD(#REF!,10),IF(#REF!/10&gt;8,MOD(#REF!,80),IF(#REF!/10&gt;7,MOD(#REF!,70),IF(#REF!/10&gt;6,MOD(#REF!,60),IF(#REF!/10&gt;5,MOD(#REF!,50),IF(#REF!/10&gt;4,MOD(#REF!,40),IF(#REF!/10&gt;3,MOD(#REF!,30),IF(#REF!/10&gt;2,MOD(#REF!,20),MOD(#REF!,100)))))))))</formula>
    </cfRule>
  </conditionalFormatting>
  <conditionalFormatting sqref="A121:A123">
    <cfRule type="expression" priority="121">
      <formula>IF(MOD(#REF!,10)&lt;10,MOD(#REF!,10),IF(#REF!/10&gt;8,MOD(#REF!,80),IF(#REF!/10&gt;7,MOD(#REF!,70),IF(#REF!/10&gt;6,MOD(#REF!,60),IF(#REF!/10&gt;5,MOD(#REF!,50),IF(#REF!/10&gt;4,MOD(#REF!,40),IF(#REF!/10&gt;3,MOD(#REF!,30),IF(#REF!/10&gt;2,MOD(#REF!,20),MOD(#REF!,100)))))))))</formula>
    </cfRule>
  </conditionalFormatting>
  <conditionalFormatting sqref="A128">
    <cfRule type="expression" priority="122">
      <formula>IF(MOD(#REF!,10)&lt;10,MOD(#REF!,10),IF(#REF!/10&gt;8,MOD(#REF!,80),IF(#REF!/10&gt;7,MOD(#REF!,70),IF(#REF!/10&gt;6,MOD(#REF!,60),IF(#REF!/10&gt;5,MOD(#REF!,50),IF(#REF!/10&gt;4,MOD(#REF!,40),IF(#REF!/10&gt;3,MOD(#REF!,30),IF(#REF!/10&gt;2,MOD(#REF!,20),MOD(#REF!,100)))))))))</formula>
    </cfRule>
  </conditionalFormatting>
  <conditionalFormatting sqref="C144">
    <cfRule type="duplicateValues" dxfId="342" priority="123"/>
  </conditionalFormatting>
  <conditionalFormatting sqref="A125:A126">
    <cfRule type="expression" priority="124">
      <formula>IF(MOD(#REF!,10)&lt;10,MOD(#REF!,10),IF(#REF!/10&gt;8,MOD(#REF!,80),IF(#REF!/10&gt;7,MOD(#REF!,70),IF(#REF!/10&gt;6,MOD(#REF!,60),IF(#REF!/10&gt;5,MOD(#REF!,50),IF(#REF!/10&gt;4,MOD(#REF!,40),IF(#REF!/10&gt;3,MOD(#REF!,30),IF(#REF!/10&gt;2,MOD(#REF!,20),MOD(#REF!,100)))))))))</formula>
    </cfRule>
  </conditionalFormatting>
  <conditionalFormatting sqref="A134">
    <cfRule type="expression" priority="125">
      <formula>IF(MOD(A154,10)&lt;10,MOD(A154,10),IF(A154/10&gt;8,MOD(A154,80),IF(A154/10&gt;7,MOD(A154,70),IF(A154/10&gt;6,MOD(A154,60),IF(A154/10&gt;5,MOD(A154,50),IF(A154/10&gt;4,MOD(A154,40),IF(A154/10&gt;3,MOD(A154,30),IF(A154/10&gt;2,MOD(A154,20),MOD(A154,100)))))))))</formula>
    </cfRule>
  </conditionalFormatting>
  <conditionalFormatting sqref="A137 A140">
    <cfRule type="expression" priority="126">
      <formula>IF(MOD(A145,10)&lt;10,MOD(A145,10),IF(A145/10&gt;8,MOD(A145,80),IF(A145/10&gt;7,MOD(A145,70),IF(A145/10&gt;6,MOD(A145,60),IF(A145/10&gt;5,MOD(A145,50),IF(A145/10&gt;4,MOD(A145,40),IF(A145/10&gt;3,MOD(A145,30),IF(A145/10&gt;2,MOD(A145,20),MOD(A145,100)))))))))</formula>
    </cfRule>
  </conditionalFormatting>
  <conditionalFormatting sqref="A188 A154">
    <cfRule type="expression" priority="127">
      <formula>IF(MOD(#REF!,10)&lt;10,MOD(#REF!,10),IF(#REF!/10&gt;8,MOD(#REF!,80),IF(#REF!/10&gt;7,MOD(#REF!,70),IF(#REF!/10&gt;6,MOD(#REF!,60),IF(#REF!/10&gt;5,MOD(#REF!,50),IF(#REF!/10&gt;4,MOD(#REF!,40),IF(#REF!/10&gt;3,MOD(#REF!,30),IF(#REF!/10&gt;2,MOD(#REF!,20),MOD(#REF!,100)))))))))</formula>
    </cfRule>
  </conditionalFormatting>
  <conditionalFormatting sqref="A153 A155 A157 A159 A161 A163 A165 A167">
    <cfRule type="expression" priority="128">
      <formula>IF(MOD(#REF!,10)&lt;10,MOD(#REF!,10),IF(#REF!/10&gt;8,MOD(#REF!,80),IF(#REF!/10&gt;7,MOD(#REF!,70),IF(#REF!/10&gt;6,MOD(#REF!,60),IF(#REF!/10&gt;5,MOD(#REF!,50),IF(#REF!/10&gt;4,MOD(#REF!,40),IF(#REF!/10&gt;3,MOD(#REF!,30),IF(#REF!/10&gt;2,MOD(#REF!,20),MOD(#REF!,100)))))))))</formula>
    </cfRule>
  </conditionalFormatting>
  <conditionalFormatting sqref="A128:A138 A204">
    <cfRule type="expression" priority="129">
      <formula>IF(MOD(#REF!,10)&lt;10,MOD(#REF!,10),IF(#REF!/10&gt;8,MOD(#REF!,80),IF(#REF!/10&gt;7,MOD(#REF!,70),IF(#REF!/10&gt;6,MOD(#REF!,60),IF(#REF!/10&gt;5,MOD(#REF!,50),IF(#REF!/10&gt;4,MOD(#REF!,40),IF(#REF!/10&gt;3,MOD(#REF!,30),IF(#REF!/10&gt;2,MOD(#REF!,20),MOD(#REF!,100)))))))))</formula>
    </cfRule>
  </conditionalFormatting>
  <conditionalFormatting sqref="A139:A140">
    <cfRule type="expression" priority="130">
      <formula>IF(MOD(A168,10)&lt;10,MOD(A168,10),IF(A168/10&gt;8,MOD(A168,80),IF(A168/10&gt;7,MOD(A168,70),IF(A168/10&gt;6,MOD(A168,60),IF(A168/10&gt;5,MOD(A168,50),IF(A168/10&gt;4,MOD(A168,40),IF(A168/10&gt;3,MOD(A168,30),IF(A168/10&gt;2,MOD(A168,20),MOD(A168,100)))))))))</formula>
    </cfRule>
  </conditionalFormatting>
  <conditionalFormatting sqref="A135:A137">
    <cfRule type="expression" priority="131">
      <formula>IF(MOD(#REF!,10)&lt;10,MOD(#REF!,10),IF(#REF!/10&gt;8,MOD(#REF!,80),IF(#REF!/10&gt;7,MOD(#REF!,70),IF(#REF!/10&gt;6,MOD(#REF!,60),IF(#REF!/10&gt;5,MOD(#REF!,50),IF(#REF!/10&gt;4,MOD(#REF!,40),IF(#REF!/10&gt;3,MOD(#REF!,30),IF(#REF!/10&gt;2,MOD(#REF!,20),MOD(#REF!,100)))))))))</formula>
    </cfRule>
  </conditionalFormatting>
  <conditionalFormatting sqref="A133">
    <cfRule type="expression" priority="132">
      <formula>IF(MOD(#REF!,10)&lt;10,MOD(#REF!,10),IF(#REF!/10&gt;8,MOD(#REF!,80),IF(#REF!/10&gt;7,MOD(#REF!,70),IF(#REF!/10&gt;6,MOD(#REF!,60),IF(#REF!/10&gt;5,MOD(#REF!,50),IF(#REF!/10&gt;4,MOD(#REF!,40),IF(#REF!/10&gt;3,MOD(#REF!,30),IF(#REF!/10&gt;2,MOD(#REF!,20),MOD(#REF!,100)))))))))</formula>
    </cfRule>
  </conditionalFormatting>
  <conditionalFormatting sqref="A126">
    <cfRule type="expression" priority="133">
      <formula>IF(MOD(#REF!,10)&lt;10,MOD(#REF!,10),IF(#REF!/10&gt;8,MOD(#REF!,80),IF(#REF!/10&gt;7,MOD(#REF!,70),IF(#REF!/10&gt;6,MOD(#REF!,60),IF(#REF!/10&gt;5,MOD(#REF!,50),IF(#REF!/10&gt;4,MOD(#REF!,40),IF(#REF!/10&gt;3,MOD(#REF!,30),IF(#REF!/10&gt;2,MOD(#REF!,20),MOD(#REF!,100)))))))))</formula>
    </cfRule>
  </conditionalFormatting>
  <conditionalFormatting sqref="A164">
    <cfRule type="expression" priority="134">
      <formula>IF(MOD(#REF!,10)&lt;10,MOD(#REF!,10),IF(#REF!/10&gt;8,MOD(#REF!,80),IF(#REF!/10&gt;7,MOD(#REF!,70),IF(#REF!/10&gt;6,MOD(#REF!,60),IF(#REF!/10&gt;5,MOD(#REF!,50),IF(#REF!/10&gt;4,MOD(#REF!,40),IF(#REF!/10&gt;3,MOD(#REF!,30),IF(#REF!/10&gt;2,MOD(#REF!,20),MOD(#REF!,100)))))))))</formula>
    </cfRule>
  </conditionalFormatting>
  <conditionalFormatting sqref="A142">
    <cfRule type="expression" priority="135">
      <formula>IF(MOD(#REF!,10)&lt;10,MOD(#REF!,10),IF(#REF!/10&gt;8,MOD(#REF!,80),IF(#REF!/10&gt;7,MOD(#REF!,70),IF(#REF!/10&gt;6,MOD(#REF!,60),IF(#REF!/10&gt;5,MOD(#REF!,50),IF(#REF!/10&gt;4,MOD(#REF!,40),IF(#REF!/10&gt;3,MOD(#REF!,30),IF(#REF!/10&gt;2,MOD(#REF!,20),MOD(#REF!,100)))))))))</formula>
    </cfRule>
  </conditionalFormatting>
  <conditionalFormatting sqref="A189 A168:A169">
    <cfRule type="expression" priority="136">
      <formula>IF(MOD(#REF!,10)&lt;10,MOD(#REF!,10),IF(#REF!/10&gt;8,MOD(#REF!,80),IF(#REF!/10&gt;7,MOD(#REF!,70),IF(#REF!/10&gt;6,MOD(#REF!,60),IF(#REF!/10&gt;5,MOD(#REF!,50),IF(#REF!/10&gt;4,MOD(#REF!,40),IF(#REF!/10&gt;3,MOD(#REF!,30),IF(#REF!/10&gt;2,MOD(#REF!,20),MOD(#REF!,100)))))))))</formula>
    </cfRule>
  </conditionalFormatting>
  <conditionalFormatting sqref="A141:A142">
    <cfRule type="expression" priority="137">
      <formula>IF(MOD(#REF!,10)&lt;10,MOD(#REF!,10),IF(#REF!/10&gt;8,MOD(#REF!,80),IF(#REF!/10&gt;7,MOD(#REF!,70),IF(#REF!/10&gt;6,MOD(#REF!,60),IF(#REF!/10&gt;5,MOD(#REF!,50),IF(#REF!/10&gt;4,MOD(#REF!,40),IF(#REF!/10&gt;3,MOD(#REF!,30),IF(#REF!/10&gt;2,MOD(#REF!,20),MOD(#REF!,100)))))))))</formula>
    </cfRule>
  </conditionalFormatting>
  <conditionalFormatting sqref="A156 A158 A160 A162 A164 A166">
    <cfRule type="expression" priority="138">
      <formula>IF(MOD(#REF!,10)&lt;10,MOD(#REF!,10),IF(#REF!/10&gt;8,MOD(#REF!,80),IF(#REF!/10&gt;7,MOD(#REF!,70),IF(#REF!/10&gt;6,MOD(#REF!,60),IF(#REF!/10&gt;5,MOD(#REF!,50),IF(#REF!/10&gt;4,MOD(#REF!,40),IF(#REF!/10&gt;3,MOD(#REF!,30),IF(#REF!/10&gt;2,MOD(#REF!,20),MOD(#REF!,100)))))))))</formula>
    </cfRule>
  </conditionalFormatting>
  <conditionalFormatting sqref="A174:A176">
    <cfRule type="expression" priority="139">
      <formula>IF(MOD(#REF!,10)&lt;10,MOD(#REF!,10),IF(#REF!/10&gt;8,MOD(#REF!,80),IF(#REF!/10&gt;7,MOD(#REF!,70),IF(#REF!/10&gt;6,MOD(#REF!,60),IF(#REF!/10&gt;5,MOD(#REF!,50),IF(#REF!/10&gt;4,MOD(#REF!,40),IF(#REF!/10&gt;3,MOD(#REF!,30),IF(#REF!/10&gt;2,MOD(#REF!,20),MOD(#REF!,100)))))))))</formula>
    </cfRule>
  </conditionalFormatting>
  <conditionalFormatting sqref="A191 A184">
    <cfRule type="expression" priority="140">
      <formula>IF(MOD(#REF!,10)&lt;10,MOD(#REF!,10),IF(#REF!/10&gt;8,MOD(#REF!,80),IF(#REF!/10&gt;7,MOD(#REF!,70),IF(#REF!/10&gt;6,MOD(#REF!,60),IF(#REF!/10&gt;5,MOD(#REF!,50),IF(#REF!/10&gt;4,MOD(#REF!,40),IF(#REF!/10&gt;3,MOD(#REF!,30),IF(#REF!/10&gt;2,MOD(#REF!,20),MOD(#REF!,100)))))))))</formula>
    </cfRule>
  </conditionalFormatting>
  <conditionalFormatting sqref="K205">
    <cfRule type="expression" dxfId="341" priority="141">
      <formula>IF(ISNUMBER(K205),IF(((YEAR(TODAY()))-12)&gt;=#REF!,FALSE,TRUE))</formula>
    </cfRule>
  </conditionalFormatting>
  <conditionalFormatting sqref="A190">
    <cfRule type="expression" priority="142">
      <formula>IF(MOD(A204,10)&lt;10,MOD(A204,10),IF(A204/10&gt;8,MOD(A204,80),IF(A204/10&gt;7,MOD(A204,70),IF(A204/10&gt;6,MOD(A204,60),IF(A204/10&gt;5,MOD(A204,50),IF(A204/10&gt;4,MOD(A204,40),IF(A204/10&gt;3,MOD(A204,30),IF(A204/10&gt;2,MOD(A204,20),MOD(A204,100)))))))))</formula>
    </cfRule>
  </conditionalFormatting>
  <conditionalFormatting sqref="B355">
    <cfRule type="expression" dxfId="340" priority="143">
      <formula>IF($E340&lt;&gt;$I$6,IF($E340&lt;&gt;$I$7,IF($E340&lt;&gt;$I$8,IF($E340&lt;&gt;$J$6,IF($E340&lt;&gt;$J$7,IF($E340&lt;&gt;$J$8,IF($E340&lt;&gt;#REF!,IF($E340&lt;&gt;#REF!,IF($E340&lt;&gt;#REF!,IF($E340&lt;&gt;#REF!,IF($E340&lt;&gt;#REF!,TRUE)))))))))))</formula>
    </cfRule>
  </conditionalFormatting>
  <conditionalFormatting sqref="A198 A195:A196">
    <cfRule type="expression" priority="144">
      <formula>IF(MOD(#REF!,10)&lt;10,MOD(#REF!,10),IF(#REF!/10&gt;8,MOD(#REF!,80),IF(#REF!/10&gt;7,MOD(#REF!,70),IF(#REF!/10&gt;6,MOD(#REF!,60),IF(#REF!/10&gt;5,MOD(#REF!,50),IF(#REF!/10&gt;4,MOD(#REF!,40),IF(#REF!/10&gt;3,MOD(#REF!,30),IF(#REF!/10&gt;2,MOD(#REF!,20),MOD(#REF!,100)))))))))</formula>
    </cfRule>
  </conditionalFormatting>
  <conditionalFormatting sqref="A197">
    <cfRule type="expression" priority="145">
      <formula>IF(MOD(#REF!,10)&lt;10,MOD(#REF!,10),IF(#REF!/10&gt;8,MOD(#REF!,80),IF(#REF!/10&gt;7,MOD(#REF!,70),IF(#REF!/10&gt;6,MOD(#REF!,60),IF(#REF!/10&gt;5,MOD(#REF!,50),IF(#REF!/10&gt;4,MOD(#REF!,40),IF(#REF!/10&gt;3,MOD(#REF!,30),IF(#REF!/10&gt;2,MOD(#REF!,20),MOD(#REF!,100)))))))))</formula>
    </cfRule>
  </conditionalFormatting>
  <conditionalFormatting sqref="A196 A194">
    <cfRule type="expression" priority="146">
      <formula>IF(MOD(#REF!,10)&lt;10,MOD(#REF!,10),IF(#REF!/10&gt;8,MOD(#REF!,80),IF(#REF!/10&gt;7,MOD(#REF!,70),IF(#REF!/10&gt;6,MOD(#REF!,60),IF(#REF!/10&gt;5,MOD(#REF!,50),IF(#REF!/10&gt;4,MOD(#REF!,40),IF(#REF!/10&gt;3,MOD(#REF!,30),IF(#REF!/10&gt;2,MOD(#REF!,20),MOD(#REF!,100)))))))))</formula>
    </cfRule>
  </conditionalFormatting>
  <conditionalFormatting sqref="A199">
    <cfRule type="expression" priority="147">
      <formula>IF(MOD(#REF!,10)&lt;10,MOD(#REF!,10),IF(#REF!/10&gt;8,MOD(#REF!,80),IF(#REF!/10&gt;7,MOD(#REF!,70),IF(#REF!/10&gt;6,MOD(#REF!,60),IF(#REF!/10&gt;5,MOD(#REF!,50),IF(#REF!/10&gt;4,MOD(#REF!,40),IF(#REF!/10&gt;3,MOD(#REF!,30),IF(#REF!/10&gt;2,MOD(#REF!,20),MOD(#REF!,100)))))))))</formula>
    </cfRule>
  </conditionalFormatting>
  <conditionalFormatting sqref="A202:A203">
    <cfRule type="expression" priority="148">
      <formula>IF(MOD(#REF!,10)&lt;10,MOD(#REF!,10),IF(#REF!/10&gt;8,MOD(#REF!,80),IF(#REF!/10&gt;7,MOD(#REF!,70),IF(#REF!/10&gt;6,MOD(#REF!,60),IF(#REF!/10&gt;5,MOD(#REF!,50),IF(#REF!/10&gt;4,MOD(#REF!,40),IF(#REF!/10&gt;3,MOD(#REF!,30),IF(#REF!/10&gt;2,MOD(#REF!,20),MOD(#REF!,100)))))))))</formula>
    </cfRule>
  </conditionalFormatting>
  <conditionalFormatting sqref="A192:A193">
    <cfRule type="expression" priority="149">
      <formula>IF(MOD(#REF!,10)&lt;10,MOD(#REF!,10),IF(#REF!/10&gt;8,MOD(#REF!,80),IF(#REF!/10&gt;7,MOD(#REF!,70),IF(#REF!/10&gt;6,MOD(#REF!,60),IF(#REF!/10&gt;5,MOD(#REF!,50),IF(#REF!/10&gt;4,MOD(#REF!,40),IF(#REF!/10&gt;3,MOD(#REF!,30),IF(#REF!/10&gt;2,MOD(#REF!,20),MOD(#REF!,100)))))))))</formula>
    </cfRule>
  </conditionalFormatting>
  <conditionalFormatting sqref="A205">
    <cfRule type="expression" priority="150">
      <formula>IF(MOD(#REF!,10)&lt;10,MOD(#REF!,10),IF(#REF!/10&gt;8,MOD(#REF!,80),IF(#REF!/10&gt;7,MOD(#REF!,70),IF(#REF!/10&gt;6,MOD(#REF!,60),IF(#REF!/10&gt;5,MOD(#REF!,50),IF(#REF!/10&gt;4,MOD(#REF!,40),IF(#REF!/10&gt;3,MOD(#REF!,30),IF(#REF!/10&gt;2,MOD(#REF!,20),MOD(#REF!,100)))))))))</formula>
    </cfRule>
  </conditionalFormatting>
  <conditionalFormatting sqref="A201">
    <cfRule type="expression" priority="151">
      <formula>IF(MOD(#REF!,10)&lt;10,MOD(#REF!,10),IF(#REF!/10&gt;8,MOD(#REF!,80),IF(#REF!/10&gt;7,MOD(#REF!,70),IF(#REF!/10&gt;6,MOD(#REF!,60),IF(#REF!/10&gt;5,MOD(#REF!,50),IF(#REF!/10&gt;4,MOD(#REF!,40),IF(#REF!/10&gt;3,MOD(#REF!,30),IF(#REF!/10&gt;2,MOD(#REF!,20),MOD(#REF!,100)))))))))</formula>
    </cfRule>
  </conditionalFormatting>
  <conditionalFormatting sqref="A198:A200">
    <cfRule type="expression" priority="152">
      <formula>IF(MOD(#REF!,10)&lt;10,MOD(#REF!,10),IF(#REF!/10&gt;8,MOD(#REF!,80),IF(#REF!/10&gt;7,MOD(#REF!,70),IF(#REF!/10&gt;6,MOD(#REF!,60),IF(#REF!/10&gt;5,MOD(#REF!,50),IF(#REF!/10&gt;4,MOD(#REF!,40),IF(#REF!/10&gt;3,MOD(#REF!,30),IF(#REF!/10&gt;2,MOD(#REF!,20),MOD(#REF!,100)))))))))</formula>
    </cfRule>
  </conditionalFormatting>
  <pageMargins left="0" right="0" top="0.35433070866141736" bottom="1.1811023622047245" header="0" footer="0.11811023622047245"/>
  <pageSetup paperSize="9" orientation="portrait" r:id="rId1"/>
  <headerFooter scaleWithDoc="0" alignWithMargins="0">
    <oddHeader>&amp;R&amp;"Times New Roman,курсив"&amp;8Стр. &amp;P из &amp;N</oddHeader>
    <oddFooter>&amp;L&amp;"Times New Roman,полужирный курсив"Главный судья соревнований, судья всероссийской категорииГлавный секретарь соревнований, судья первой категории&amp;R&amp;"Times New Roman,полужирный курсив"Алдаев А.В.Реди Е.В.</oddFooter>
  </headerFooter>
  <rowBreaks count="2" manualBreakCount="2">
    <brk id="49" max="16383" man="1"/>
    <brk id="90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Лист12"/>
  <dimension ref="A1:H45"/>
  <sheetViews>
    <sheetView topLeftCell="B10" workbookViewId="0">
      <selection activeCell="U19" sqref="U19"/>
    </sheetView>
  </sheetViews>
  <sheetFormatPr defaultRowHeight="13.5"/>
  <cols>
    <col min="1" max="1" width="5.109375" style="706" customWidth="1"/>
    <col min="2" max="2" width="43.58203125" style="706" customWidth="1"/>
    <col min="3" max="3" width="26.36328125" style="706" customWidth="1"/>
    <col min="4" max="4" width="9.4140625" style="706" customWidth="1"/>
    <col min="5" max="5" width="7.53125" style="706" customWidth="1"/>
    <col min="6" max="6" width="17.484375" style="708" customWidth="1"/>
    <col min="7" max="7" width="9.81640625" style="709" customWidth="1"/>
    <col min="8" max="8" width="19.90625" style="706" customWidth="1"/>
    <col min="9" max="21" width="1.07421875" style="707" customWidth="1"/>
    <col min="22" max="256" width="9.14453125" style="707"/>
    <col min="257" max="257" width="5.109375" style="707" customWidth="1"/>
    <col min="258" max="258" width="47.484375" style="707" customWidth="1"/>
    <col min="259" max="259" width="26.36328125" style="707" customWidth="1"/>
    <col min="260" max="260" width="9.4140625" style="707" customWidth="1"/>
    <col min="261" max="261" width="7.53125" style="707" customWidth="1"/>
    <col min="262" max="262" width="17.484375" style="707" customWidth="1"/>
    <col min="263" max="263" width="9.81640625" style="707" customWidth="1"/>
    <col min="264" max="264" width="13.5859375" style="707" customWidth="1"/>
    <col min="265" max="512" width="9.14453125" style="707"/>
    <col min="513" max="513" width="5.109375" style="707" customWidth="1"/>
    <col min="514" max="514" width="47.484375" style="707" customWidth="1"/>
    <col min="515" max="515" width="26.36328125" style="707" customWidth="1"/>
    <col min="516" max="516" width="9.4140625" style="707" customWidth="1"/>
    <col min="517" max="517" width="7.53125" style="707" customWidth="1"/>
    <col min="518" max="518" width="17.484375" style="707" customWidth="1"/>
    <col min="519" max="519" width="9.81640625" style="707" customWidth="1"/>
    <col min="520" max="520" width="13.5859375" style="707" customWidth="1"/>
    <col min="521" max="768" width="9.14453125" style="707"/>
    <col min="769" max="769" width="5.109375" style="707" customWidth="1"/>
    <col min="770" max="770" width="47.484375" style="707" customWidth="1"/>
    <col min="771" max="771" width="26.36328125" style="707" customWidth="1"/>
    <col min="772" max="772" width="9.4140625" style="707" customWidth="1"/>
    <col min="773" max="773" width="7.53125" style="707" customWidth="1"/>
    <col min="774" max="774" width="17.484375" style="707" customWidth="1"/>
    <col min="775" max="775" width="9.81640625" style="707" customWidth="1"/>
    <col min="776" max="776" width="13.5859375" style="707" customWidth="1"/>
    <col min="777" max="1024" width="9.14453125" style="707"/>
    <col min="1025" max="1025" width="5.109375" style="707" customWidth="1"/>
    <col min="1026" max="1026" width="47.484375" style="707" customWidth="1"/>
    <col min="1027" max="1027" width="26.36328125" style="707" customWidth="1"/>
    <col min="1028" max="1028" width="9.4140625" style="707" customWidth="1"/>
    <col min="1029" max="1029" width="7.53125" style="707" customWidth="1"/>
    <col min="1030" max="1030" width="17.484375" style="707" customWidth="1"/>
    <col min="1031" max="1031" width="9.81640625" style="707" customWidth="1"/>
    <col min="1032" max="1032" width="13.5859375" style="707" customWidth="1"/>
    <col min="1033" max="1280" width="9.14453125" style="707"/>
    <col min="1281" max="1281" width="5.109375" style="707" customWidth="1"/>
    <col min="1282" max="1282" width="47.484375" style="707" customWidth="1"/>
    <col min="1283" max="1283" width="26.36328125" style="707" customWidth="1"/>
    <col min="1284" max="1284" width="9.4140625" style="707" customWidth="1"/>
    <col min="1285" max="1285" width="7.53125" style="707" customWidth="1"/>
    <col min="1286" max="1286" width="17.484375" style="707" customWidth="1"/>
    <col min="1287" max="1287" width="9.81640625" style="707" customWidth="1"/>
    <col min="1288" max="1288" width="13.5859375" style="707" customWidth="1"/>
    <col min="1289" max="1536" width="9.14453125" style="707"/>
    <col min="1537" max="1537" width="5.109375" style="707" customWidth="1"/>
    <col min="1538" max="1538" width="47.484375" style="707" customWidth="1"/>
    <col min="1539" max="1539" width="26.36328125" style="707" customWidth="1"/>
    <col min="1540" max="1540" width="9.4140625" style="707" customWidth="1"/>
    <col min="1541" max="1541" width="7.53125" style="707" customWidth="1"/>
    <col min="1542" max="1542" width="17.484375" style="707" customWidth="1"/>
    <col min="1543" max="1543" width="9.81640625" style="707" customWidth="1"/>
    <col min="1544" max="1544" width="13.5859375" style="707" customWidth="1"/>
    <col min="1545" max="1792" width="9.14453125" style="707"/>
    <col min="1793" max="1793" width="5.109375" style="707" customWidth="1"/>
    <col min="1794" max="1794" width="47.484375" style="707" customWidth="1"/>
    <col min="1795" max="1795" width="26.36328125" style="707" customWidth="1"/>
    <col min="1796" max="1796" width="9.4140625" style="707" customWidth="1"/>
    <col min="1797" max="1797" width="7.53125" style="707" customWidth="1"/>
    <col min="1798" max="1798" width="17.484375" style="707" customWidth="1"/>
    <col min="1799" max="1799" width="9.81640625" style="707" customWidth="1"/>
    <col min="1800" max="1800" width="13.5859375" style="707" customWidth="1"/>
    <col min="1801" max="2048" width="9.14453125" style="707"/>
    <col min="2049" max="2049" width="5.109375" style="707" customWidth="1"/>
    <col min="2050" max="2050" width="47.484375" style="707" customWidth="1"/>
    <col min="2051" max="2051" width="26.36328125" style="707" customWidth="1"/>
    <col min="2052" max="2052" width="9.4140625" style="707" customWidth="1"/>
    <col min="2053" max="2053" width="7.53125" style="707" customWidth="1"/>
    <col min="2054" max="2054" width="17.484375" style="707" customWidth="1"/>
    <col min="2055" max="2055" width="9.81640625" style="707" customWidth="1"/>
    <col min="2056" max="2056" width="13.5859375" style="707" customWidth="1"/>
    <col min="2057" max="2304" width="9.14453125" style="707"/>
    <col min="2305" max="2305" width="5.109375" style="707" customWidth="1"/>
    <col min="2306" max="2306" width="47.484375" style="707" customWidth="1"/>
    <col min="2307" max="2307" width="26.36328125" style="707" customWidth="1"/>
    <col min="2308" max="2308" width="9.4140625" style="707" customWidth="1"/>
    <col min="2309" max="2309" width="7.53125" style="707" customWidth="1"/>
    <col min="2310" max="2310" width="17.484375" style="707" customWidth="1"/>
    <col min="2311" max="2311" width="9.81640625" style="707" customWidth="1"/>
    <col min="2312" max="2312" width="13.5859375" style="707" customWidth="1"/>
    <col min="2313" max="2560" width="9.14453125" style="707"/>
    <col min="2561" max="2561" width="5.109375" style="707" customWidth="1"/>
    <col min="2562" max="2562" width="47.484375" style="707" customWidth="1"/>
    <col min="2563" max="2563" width="26.36328125" style="707" customWidth="1"/>
    <col min="2564" max="2564" width="9.4140625" style="707" customWidth="1"/>
    <col min="2565" max="2565" width="7.53125" style="707" customWidth="1"/>
    <col min="2566" max="2566" width="17.484375" style="707" customWidth="1"/>
    <col min="2567" max="2567" width="9.81640625" style="707" customWidth="1"/>
    <col min="2568" max="2568" width="13.5859375" style="707" customWidth="1"/>
    <col min="2569" max="2816" width="9.14453125" style="707"/>
    <col min="2817" max="2817" width="5.109375" style="707" customWidth="1"/>
    <col min="2818" max="2818" width="47.484375" style="707" customWidth="1"/>
    <col min="2819" max="2819" width="26.36328125" style="707" customWidth="1"/>
    <col min="2820" max="2820" width="9.4140625" style="707" customWidth="1"/>
    <col min="2821" max="2821" width="7.53125" style="707" customWidth="1"/>
    <col min="2822" max="2822" width="17.484375" style="707" customWidth="1"/>
    <col min="2823" max="2823" width="9.81640625" style="707" customWidth="1"/>
    <col min="2824" max="2824" width="13.5859375" style="707" customWidth="1"/>
    <col min="2825" max="3072" width="9.14453125" style="707"/>
    <col min="3073" max="3073" width="5.109375" style="707" customWidth="1"/>
    <col min="3074" max="3074" width="47.484375" style="707" customWidth="1"/>
    <col min="3075" max="3075" width="26.36328125" style="707" customWidth="1"/>
    <col min="3076" max="3076" width="9.4140625" style="707" customWidth="1"/>
    <col min="3077" max="3077" width="7.53125" style="707" customWidth="1"/>
    <col min="3078" max="3078" width="17.484375" style="707" customWidth="1"/>
    <col min="3079" max="3079" width="9.81640625" style="707" customWidth="1"/>
    <col min="3080" max="3080" width="13.5859375" style="707" customWidth="1"/>
    <col min="3081" max="3328" width="9.14453125" style="707"/>
    <col min="3329" max="3329" width="5.109375" style="707" customWidth="1"/>
    <col min="3330" max="3330" width="47.484375" style="707" customWidth="1"/>
    <col min="3331" max="3331" width="26.36328125" style="707" customWidth="1"/>
    <col min="3332" max="3332" width="9.4140625" style="707" customWidth="1"/>
    <col min="3333" max="3333" width="7.53125" style="707" customWidth="1"/>
    <col min="3334" max="3334" width="17.484375" style="707" customWidth="1"/>
    <col min="3335" max="3335" width="9.81640625" style="707" customWidth="1"/>
    <col min="3336" max="3336" width="13.5859375" style="707" customWidth="1"/>
    <col min="3337" max="3584" width="9.14453125" style="707"/>
    <col min="3585" max="3585" width="5.109375" style="707" customWidth="1"/>
    <col min="3586" max="3586" width="47.484375" style="707" customWidth="1"/>
    <col min="3587" max="3587" width="26.36328125" style="707" customWidth="1"/>
    <col min="3588" max="3588" width="9.4140625" style="707" customWidth="1"/>
    <col min="3589" max="3589" width="7.53125" style="707" customWidth="1"/>
    <col min="3590" max="3590" width="17.484375" style="707" customWidth="1"/>
    <col min="3591" max="3591" width="9.81640625" style="707" customWidth="1"/>
    <col min="3592" max="3592" width="13.5859375" style="707" customWidth="1"/>
    <col min="3593" max="3840" width="9.14453125" style="707"/>
    <col min="3841" max="3841" width="5.109375" style="707" customWidth="1"/>
    <col min="3842" max="3842" width="47.484375" style="707" customWidth="1"/>
    <col min="3843" max="3843" width="26.36328125" style="707" customWidth="1"/>
    <col min="3844" max="3844" width="9.4140625" style="707" customWidth="1"/>
    <col min="3845" max="3845" width="7.53125" style="707" customWidth="1"/>
    <col min="3846" max="3846" width="17.484375" style="707" customWidth="1"/>
    <col min="3847" max="3847" width="9.81640625" style="707" customWidth="1"/>
    <col min="3848" max="3848" width="13.5859375" style="707" customWidth="1"/>
    <col min="3849" max="4096" width="9.14453125" style="707"/>
    <col min="4097" max="4097" width="5.109375" style="707" customWidth="1"/>
    <col min="4098" max="4098" width="47.484375" style="707" customWidth="1"/>
    <col min="4099" max="4099" width="26.36328125" style="707" customWidth="1"/>
    <col min="4100" max="4100" width="9.4140625" style="707" customWidth="1"/>
    <col min="4101" max="4101" width="7.53125" style="707" customWidth="1"/>
    <col min="4102" max="4102" width="17.484375" style="707" customWidth="1"/>
    <col min="4103" max="4103" width="9.81640625" style="707" customWidth="1"/>
    <col min="4104" max="4104" width="13.5859375" style="707" customWidth="1"/>
    <col min="4105" max="4352" width="9.14453125" style="707"/>
    <col min="4353" max="4353" width="5.109375" style="707" customWidth="1"/>
    <col min="4354" max="4354" width="47.484375" style="707" customWidth="1"/>
    <col min="4355" max="4355" width="26.36328125" style="707" customWidth="1"/>
    <col min="4356" max="4356" width="9.4140625" style="707" customWidth="1"/>
    <col min="4357" max="4357" width="7.53125" style="707" customWidth="1"/>
    <col min="4358" max="4358" width="17.484375" style="707" customWidth="1"/>
    <col min="4359" max="4359" width="9.81640625" style="707" customWidth="1"/>
    <col min="4360" max="4360" width="13.5859375" style="707" customWidth="1"/>
    <col min="4361" max="4608" width="9.14453125" style="707"/>
    <col min="4609" max="4609" width="5.109375" style="707" customWidth="1"/>
    <col min="4610" max="4610" width="47.484375" style="707" customWidth="1"/>
    <col min="4611" max="4611" width="26.36328125" style="707" customWidth="1"/>
    <col min="4612" max="4612" width="9.4140625" style="707" customWidth="1"/>
    <col min="4613" max="4613" width="7.53125" style="707" customWidth="1"/>
    <col min="4614" max="4614" width="17.484375" style="707" customWidth="1"/>
    <col min="4615" max="4615" width="9.81640625" style="707" customWidth="1"/>
    <col min="4616" max="4616" width="13.5859375" style="707" customWidth="1"/>
    <col min="4617" max="4864" width="9.14453125" style="707"/>
    <col min="4865" max="4865" width="5.109375" style="707" customWidth="1"/>
    <col min="4866" max="4866" width="47.484375" style="707" customWidth="1"/>
    <col min="4867" max="4867" width="26.36328125" style="707" customWidth="1"/>
    <col min="4868" max="4868" width="9.4140625" style="707" customWidth="1"/>
    <col min="4869" max="4869" width="7.53125" style="707" customWidth="1"/>
    <col min="4870" max="4870" width="17.484375" style="707" customWidth="1"/>
    <col min="4871" max="4871" width="9.81640625" style="707" customWidth="1"/>
    <col min="4872" max="4872" width="13.5859375" style="707" customWidth="1"/>
    <col min="4873" max="5120" width="9.14453125" style="707"/>
    <col min="5121" max="5121" width="5.109375" style="707" customWidth="1"/>
    <col min="5122" max="5122" width="47.484375" style="707" customWidth="1"/>
    <col min="5123" max="5123" width="26.36328125" style="707" customWidth="1"/>
    <col min="5124" max="5124" width="9.4140625" style="707" customWidth="1"/>
    <col min="5125" max="5125" width="7.53125" style="707" customWidth="1"/>
    <col min="5126" max="5126" width="17.484375" style="707" customWidth="1"/>
    <col min="5127" max="5127" width="9.81640625" style="707" customWidth="1"/>
    <col min="5128" max="5128" width="13.5859375" style="707" customWidth="1"/>
    <col min="5129" max="5376" width="9.14453125" style="707"/>
    <col min="5377" max="5377" width="5.109375" style="707" customWidth="1"/>
    <col min="5378" max="5378" width="47.484375" style="707" customWidth="1"/>
    <col min="5379" max="5379" width="26.36328125" style="707" customWidth="1"/>
    <col min="5380" max="5380" width="9.4140625" style="707" customWidth="1"/>
    <col min="5381" max="5381" width="7.53125" style="707" customWidth="1"/>
    <col min="5382" max="5382" width="17.484375" style="707" customWidth="1"/>
    <col min="5383" max="5383" width="9.81640625" style="707" customWidth="1"/>
    <col min="5384" max="5384" width="13.5859375" style="707" customWidth="1"/>
    <col min="5385" max="5632" width="9.14453125" style="707"/>
    <col min="5633" max="5633" width="5.109375" style="707" customWidth="1"/>
    <col min="5634" max="5634" width="47.484375" style="707" customWidth="1"/>
    <col min="5635" max="5635" width="26.36328125" style="707" customWidth="1"/>
    <col min="5636" max="5636" width="9.4140625" style="707" customWidth="1"/>
    <col min="5637" max="5637" width="7.53125" style="707" customWidth="1"/>
    <col min="5638" max="5638" width="17.484375" style="707" customWidth="1"/>
    <col min="5639" max="5639" width="9.81640625" style="707" customWidth="1"/>
    <col min="5640" max="5640" width="13.5859375" style="707" customWidth="1"/>
    <col min="5641" max="5888" width="9.14453125" style="707"/>
    <col min="5889" max="5889" width="5.109375" style="707" customWidth="1"/>
    <col min="5890" max="5890" width="47.484375" style="707" customWidth="1"/>
    <col min="5891" max="5891" width="26.36328125" style="707" customWidth="1"/>
    <col min="5892" max="5892" width="9.4140625" style="707" customWidth="1"/>
    <col min="5893" max="5893" width="7.53125" style="707" customWidth="1"/>
    <col min="5894" max="5894" width="17.484375" style="707" customWidth="1"/>
    <col min="5895" max="5895" width="9.81640625" style="707" customWidth="1"/>
    <col min="5896" max="5896" width="13.5859375" style="707" customWidth="1"/>
    <col min="5897" max="6144" width="9.14453125" style="707"/>
    <col min="6145" max="6145" width="5.109375" style="707" customWidth="1"/>
    <col min="6146" max="6146" width="47.484375" style="707" customWidth="1"/>
    <col min="6147" max="6147" width="26.36328125" style="707" customWidth="1"/>
    <col min="6148" max="6148" width="9.4140625" style="707" customWidth="1"/>
    <col min="6149" max="6149" width="7.53125" style="707" customWidth="1"/>
    <col min="6150" max="6150" width="17.484375" style="707" customWidth="1"/>
    <col min="6151" max="6151" width="9.81640625" style="707" customWidth="1"/>
    <col min="6152" max="6152" width="13.5859375" style="707" customWidth="1"/>
    <col min="6153" max="6400" width="9.14453125" style="707"/>
    <col min="6401" max="6401" width="5.109375" style="707" customWidth="1"/>
    <col min="6402" max="6402" width="47.484375" style="707" customWidth="1"/>
    <col min="6403" max="6403" width="26.36328125" style="707" customWidth="1"/>
    <col min="6404" max="6404" width="9.4140625" style="707" customWidth="1"/>
    <col min="6405" max="6405" width="7.53125" style="707" customWidth="1"/>
    <col min="6406" max="6406" width="17.484375" style="707" customWidth="1"/>
    <col min="6407" max="6407" width="9.81640625" style="707" customWidth="1"/>
    <col min="6408" max="6408" width="13.5859375" style="707" customWidth="1"/>
    <col min="6409" max="6656" width="9.14453125" style="707"/>
    <col min="6657" max="6657" width="5.109375" style="707" customWidth="1"/>
    <col min="6658" max="6658" width="47.484375" style="707" customWidth="1"/>
    <col min="6659" max="6659" width="26.36328125" style="707" customWidth="1"/>
    <col min="6660" max="6660" width="9.4140625" style="707" customWidth="1"/>
    <col min="6661" max="6661" width="7.53125" style="707" customWidth="1"/>
    <col min="6662" max="6662" width="17.484375" style="707" customWidth="1"/>
    <col min="6663" max="6663" width="9.81640625" style="707" customWidth="1"/>
    <col min="6664" max="6664" width="13.5859375" style="707" customWidth="1"/>
    <col min="6665" max="6912" width="9.14453125" style="707"/>
    <col min="6913" max="6913" width="5.109375" style="707" customWidth="1"/>
    <col min="6914" max="6914" width="47.484375" style="707" customWidth="1"/>
    <col min="6915" max="6915" width="26.36328125" style="707" customWidth="1"/>
    <col min="6916" max="6916" width="9.4140625" style="707" customWidth="1"/>
    <col min="6917" max="6917" width="7.53125" style="707" customWidth="1"/>
    <col min="6918" max="6918" width="17.484375" style="707" customWidth="1"/>
    <col min="6919" max="6919" width="9.81640625" style="707" customWidth="1"/>
    <col min="6920" max="6920" width="13.5859375" style="707" customWidth="1"/>
    <col min="6921" max="7168" width="9.14453125" style="707"/>
    <col min="7169" max="7169" width="5.109375" style="707" customWidth="1"/>
    <col min="7170" max="7170" width="47.484375" style="707" customWidth="1"/>
    <col min="7171" max="7171" width="26.36328125" style="707" customWidth="1"/>
    <col min="7172" max="7172" width="9.4140625" style="707" customWidth="1"/>
    <col min="7173" max="7173" width="7.53125" style="707" customWidth="1"/>
    <col min="7174" max="7174" width="17.484375" style="707" customWidth="1"/>
    <col min="7175" max="7175" width="9.81640625" style="707" customWidth="1"/>
    <col min="7176" max="7176" width="13.5859375" style="707" customWidth="1"/>
    <col min="7177" max="7424" width="9.14453125" style="707"/>
    <col min="7425" max="7425" width="5.109375" style="707" customWidth="1"/>
    <col min="7426" max="7426" width="47.484375" style="707" customWidth="1"/>
    <col min="7427" max="7427" width="26.36328125" style="707" customWidth="1"/>
    <col min="7428" max="7428" width="9.4140625" style="707" customWidth="1"/>
    <col min="7429" max="7429" width="7.53125" style="707" customWidth="1"/>
    <col min="7430" max="7430" width="17.484375" style="707" customWidth="1"/>
    <col min="7431" max="7431" width="9.81640625" style="707" customWidth="1"/>
    <col min="7432" max="7432" width="13.5859375" style="707" customWidth="1"/>
    <col min="7433" max="7680" width="9.14453125" style="707"/>
    <col min="7681" max="7681" width="5.109375" style="707" customWidth="1"/>
    <col min="7682" max="7682" width="47.484375" style="707" customWidth="1"/>
    <col min="7683" max="7683" width="26.36328125" style="707" customWidth="1"/>
    <col min="7684" max="7684" width="9.4140625" style="707" customWidth="1"/>
    <col min="7685" max="7685" width="7.53125" style="707" customWidth="1"/>
    <col min="7686" max="7686" width="17.484375" style="707" customWidth="1"/>
    <col min="7687" max="7687" width="9.81640625" style="707" customWidth="1"/>
    <col min="7688" max="7688" width="13.5859375" style="707" customWidth="1"/>
    <col min="7689" max="7936" width="9.14453125" style="707"/>
    <col min="7937" max="7937" width="5.109375" style="707" customWidth="1"/>
    <col min="7938" max="7938" width="47.484375" style="707" customWidth="1"/>
    <col min="7939" max="7939" width="26.36328125" style="707" customWidth="1"/>
    <col min="7940" max="7940" width="9.4140625" style="707" customWidth="1"/>
    <col min="7941" max="7941" width="7.53125" style="707" customWidth="1"/>
    <col min="7942" max="7942" width="17.484375" style="707" customWidth="1"/>
    <col min="7943" max="7943" width="9.81640625" style="707" customWidth="1"/>
    <col min="7944" max="7944" width="13.5859375" style="707" customWidth="1"/>
    <col min="7945" max="8192" width="9.14453125" style="707"/>
    <col min="8193" max="8193" width="5.109375" style="707" customWidth="1"/>
    <col min="8194" max="8194" width="47.484375" style="707" customWidth="1"/>
    <col min="8195" max="8195" width="26.36328125" style="707" customWidth="1"/>
    <col min="8196" max="8196" width="9.4140625" style="707" customWidth="1"/>
    <col min="8197" max="8197" width="7.53125" style="707" customWidth="1"/>
    <col min="8198" max="8198" width="17.484375" style="707" customWidth="1"/>
    <col min="8199" max="8199" width="9.81640625" style="707" customWidth="1"/>
    <col min="8200" max="8200" width="13.5859375" style="707" customWidth="1"/>
    <col min="8201" max="8448" width="9.14453125" style="707"/>
    <col min="8449" max="8449" width="5.109375" style="707" customWidth="1"/>
    <col min="8450" max="8450" width="47.484375" style="707" customWidth="1"/>
    <col min="8451" max="8451" width="26.36328125" style="707" customWidth="1"/>
    <col min="8452" max="8452" width="9.4140625" style="707" customWidth="1"/>
    <col min="8453" max="8453" width="7.53125" style="707" customWidth="1"/>
    <col min="8454" max="8454" width="17.484375" style="707" customWidth="1"/>
    <col min="8455" max="8455" width="9.81640625" style="707" customWidth="1"/>
    <col min="8456" max="8456" width="13.5859375" style="707" customWidth="1"/>
    <col min="8457" max="8704" width="9.14453125" style="707"/>
    <col min="8705" max="8705" width="5.109375" style="707" customWidth="1"/>
    <col min="8706" max="8706" width="47.484375" style="707" customWidth="1"/>
    <col min="8707" max="8707" width="26.36328125" style="707" customWidth="1"/>
    <col min="8708" max="8708" width="9.4140625" style="707" customWidth="1"/>
    <col min="8709" max="8709" width="7.53125" style="707" customWidth="1"/>
    <col min="8710" max="8710" width="17.484375" style="707" customWidth="1"/>
    <col min="8711" max="8711" width="9.81640625" style="707" customWidth="1"/>
    <col min="8712" max="8712" width="13.5859375" style="707" customWidth="1"/>
    <col min="8713" max="8960" width="9.14453125" style="707"/>
    <col min="8961" max="8961" width="5.109375" style="707" customWidth="1"/>
    <col min="8962" max="8962" width="47.484375" style="707" customWidth="1"/>
    <col min="8963" max="8963" width="26.36328125" style="707" customWidth="1"/>
    <col min="8964" max="8964" width="9.4140625" style="707" customWidth="1"/>
    <col min="8965" max="8965" width="7.53125" style="707" customWidth="1"/>
    <col min="8966" max="8966" width="17.484375" style="707" customWidth="1"/>
    <col min="8967" max="8967" width="9.81640625" style="707" customWidth="1"/>
    <col min="8968" max="8968" width="13.5859375" style="707" customWidth="1"/>
    <col min="8969" max="9216" width="9.14453125" style="707"/>
    <col min="9217" max="9217" width="5.109375" style="707" customWidth="1"/>
    <col min="9218" max="9218" width="47.484375" style="707" customWidth="1"/>
    <col min="9219" max="9219" width="26.36328125" style="707" customWidth="1"/>
    <col min="9220" max="9220" width="9.4140625" style="707" customWidth="1"/>
    <col min="9221" max="9221" width="7.53125" style="707" customWidth="1"/>
    <col min="9222" max="9222" width="17.484375" style="707" customWidth="1"/>
    <col min="9223" max="9223" width="9.81640625" style="707" customWidth="1"/>
    <col min="9224" max="9224" width="13.5859375" style="707" customWidth="1"/>
    <col min="9225" max="9472" width="9.14453125" style="707"/>
    <col min="9473" max="9473" width="5.109375" style="707" customWidth="1"/>
    <col min="9474" max="9474" width="47.484375" style="707" customWidth="1"/>
    <col min="9475" max="9475" width="26.36328125" style="707" customWidth="1"/>
    <col min="9476" max="9476" width="9.4140625" style="707" customWidth="1"/>
    <col min="9477" max="9477" width="7.53125" style="707" customWidth="1"/>
    <col min="9478" max="9478" width="17.484375" style="707" customWidth="1"/>
    <col min="9479" max="9479" width="9.81640625" style="707" customWidth="1"/>
    <col min="9480" max="9480" width="13.5859375" style="707" customWidth="1"/>
    <col min="9481" max="9728" width="9.14453125" style="707"/>
    <col min="9729" max="9729" width="5.109375" style="707" customWidth="1"/>
    <col min="9730" max="9730" width="47.484375" style="707" customWidth="1"/>
    <col min="9731" max="9731" width="26.36328125" style="707" customWidth="1"/>
    <col min="9732" max="9732" width="9.4140625" style="707" customWidth="1"/>
    <col min="9733" max="9733" width="7.53125" style="707" customWidth="1"/>
    <col min="9734" max="9734" width="17.484375" style="707" customWidth="1"/>
    <col min="9735" max="9735" width="9.81640625" style="707" customWidth="1"/>
    <col min="9736" max="9736" width="13.5859375" style="707" customWidth="1"/>
    <col min="9737" max="9984" width="9.14453125" style="707"/>
    <col min="9985" max="9985" width="5.109375" style="707" customWidth="1"/>
    <col min="9986" max="9986" width="47.484375" style="707" customWidth="1"/>
    <col min="9987" max="9987" width="26.36328125" style="707" customWidth="1"/>
    <col min="9988" max="9988" width="9.4140625" style="707" customWidth="1"/>
    <col min="9989" max="9989" width="7.53125" style="707" customWidth="1"/>
    <col min="9990" max="9990" width="17.484375" style="707" customWidth="1"/>
    <col min="9991" max="9991" width="9.81640625" style="707" customWidth="1"/>
    <col min="9992" max="9992" width="13.5859375" style="707" customWidth="1"/>
    <col min="9993" max="10240" width="9.14453125" style="707"/>
    <col min="10241" max="10241" width="5.109375" style="707" customWidth="1"/>
    <col min="10242" max="10242" width="47.484375" style="707" customWidth="1"/>
    <col min="10243" max="10243" width="26.36328125" style="707" customWidth="1"/>
    <col min="10244" max="10244" width="9.4140625" style="707" customWidth="1"/>
    <col min="10245" max="10245" width="7.53125" style="707" customWidth="1"/>
    <col min="10246" max="10246" width="17.484375" style="707" customWidth="1"/>
    <col min="10247" max="10247" width="9.81640625" style="707" customWidth="1"/>
    <col min="10248" max="10248" width="13.5859375" style="707" customWidth="1"/>
    <col min="10249" max="10496" width="9.14453125" style="707"/>
    <col min="10497" max="10497" width="5.109375" style="707" customWidth="1"/>
    <col min="10498" max="10498" width="47.484375" style="707" customWidth="1"/>
    <col min="10499" max="10499" width="26.36328125" style="707" customWidth="1"/>
    <col min="10500" max="10500" width="9.4140625" style="707" customWidth="1"/>
    <col min="10501" max="10501" width="7.53125" style="707" customWidth="1"/>
    <col min="10502" max="10502" width="17.484375" style="707" customWidth="1"/>
    <col min="10503" max="10503" width="9.81640625" style="707" customWidth="1"/>
    <col min="10504" max="10504" width="13.5859375" style="707" customWidth="1"/>
    <col min="10505" max="10752" width="9.14453125" style="707"/>
    <col min="10753" max="10753" width="5.109375" style="707" customWidth="1"/>
    <col min="10754" max="10754" width="47.484375" style="707" customWidth="1"/>
    <col min="10755" max="10755" width="26.36328125" style="707" customWidth="1"/>
    <col min="10756" max="10756" width="9.4140625" style="707" customWidth="1"/>
    <col min="10757" max="10757" width="7.53125" style="707" customWidth="1"/>
    <col min="10758" max="10758" width="17.484375" style="707" customWidth="1"/>
    <col min="10759" max="10759" width="9.81640625" style="707" customWidth="1"/>
    <col min="10760" max="10760" width="13.5859375" style="707" customWidth="1"/>
    <col min="10761" max="11008" width="9.14453125" style="707"/>
    <col min="11009" max="11009" width="5.109375" style="707" customWidth="1"/>
    <col min="11010" max="11010" width="47.484375" style="707" customWidth="1"/>
    <col min="11011" max="11011" width="26.36328125" style="707" customWidth="1"/>
    <col min="11012" max="11012" width="9.4140625" style="707" customWidth="1"/>
    <col min="11013" max="11013" width="7.53125" style="707" customWidth="1"/>
    <col min="11014" max="11014" width="17.484375" style="707" customWidth="1"/>
    <col min="11015" max="11015" width="9.81640625" style="707" customWidth="1"/>
    <col min="11016" max="11016" width="13.5859375" style="707" customWidth="1"/>
    <col min="11017" max="11264" width="9.14453125" style="707"/>
    <col min="11265" max="11265" width="5.109375" style="707" customWidth="1"/>
    <col min="11266" max="11266" width="47.484375" style="707" customWidth="1"/>
    <col min="11267" max="11267" width="26.36328125" style="707" customWidth="1"/>
    <col min="11268" max="11268" width="9.4140625" style="707" customWidth="1"/>
    <col min="11269" max="11269" width="7.53125" style="707" customWidth="1"/>
    <col min="11270" max="11270" width="17.484375" style="707" customWidth="1"/>
    <col min="11271" max="11271" width="9.81640625" style="707" customWidth="1"/>
    <col min="11272" max="11272" width="13.5859375" style="707" customWidth="1"/>
    <col min="11273" max="11520" width="9.14453125" style="707"/>
    <col min="11521" max="11521" width="5.109375" style="707" customWidth="1"/>
    <col min="11522" max="11522" width="47.484375" style="707" customWidth="1"/>
    <col min="11523" max="11523" width="26.36328125" style="707" customWidth="1"/>
    <col min="11524" max="11524" width="9.4140625" style="707" customWidth="1"/>
    <col min="11525" max="11525" width="7.53125" style="707" customWidth="1"/>
    <col min="11526" max="11526" width="17.484375" style="707" customWidth="1"/>
    <col min="11527" max="11527" width="9.81640625" style="707" customWidth="1"/>
    <col min="11528" max="11528" width="13.5859375" style="707" customWidth="1"/>
    <col min="11529" max="11776" width="9.14453125" style="707"/>
    <col min="11777" max="11777" width="5.109375" style="707" customWidth="1"/>
    <col min="11778" max="11778" width="47.484375" style="707" customWidth="1"/>
    <col min="11779" max="11779" width="26.36328125" style="707" customWidth="1"/>
    <col min="11780" max="11780" width="9.4140625" style="707" customWidth="1"/>
    <col min="11781" max="11781" width="7.53125" style="707" customWidth="1"/>
    <col min="11782" max="11782" width="17.484375" style="707" customWidth="1"/>
    <col min="11783" max="11783" width="9.81640625" style="707" customWidth="1"/>
    <col min="11784" max="11784" width="13.5859375" style="707" customWidth="1"/>
    <col min="11785" max="12032" width="9.14453125" style="707"/>
    <col min="12033" max="12033" width="5.109375" style="707" customWidth="1"/>
    <col min="12034" max="12034" width="47.484375" style="707" customWidth="1"/>
    <col min="12035" max="12035" width="26.36328125" style="707" customWidth="1"/>
    <col min="12036" max="12036" width="9.4140625" style="707" customWidth="1"/>
    <col min="12037" max="12037" width="7.53125" style="707" customWidth="1"/>
    <col min="12038" max="12038" width="17.484375" style="707" customWidth="1"/>
    <col min="12039" max="12039" width="9.81640625" style="707" customWidth="1"/>
    <col min="12040" max="12040" width="13.5859375" style="707" customWidth="1"/>
    <col min="12041" max="12288" width="9.14453125" style="707"/>
    <col min="12289" max="12289" width="5.109375" style="707" customWidth="1"/>
    <col min="12290" max="12290" width="47.484375" style="707" customWidth="1"/>
    <col min="12291" max="12291" width="26.36328125" style="707" customWidth="1"/>
    <col min="12292" max="12292" width="9.4140625" style="707" customWidth="1"/>
    <col min="12293" max="12293" width="7.53125" style="707" customWidth="1"/>
    <col min="12294" max="12294" width="17.484375" style="707" customWidth="1"/>
    <col min="12295" max="12295" width="9.81640625" style="707" customWidth="1"/>
    <col min="12296" max="12296" width="13.5859375" style="707" customWidth="1"/>
    <col min="12297" max="12544" width="9.14453125" style="707"/>
    <col min="12545" max="12545" width="5.109375" style="707" customWidth="1"/>
    <col min="12546" max="12546" width="47.484375" style="707" customWidth="1"/>
    <col min="12547" max="12547" width="26.36328125" style="707" customWidth="1"/>
    <col min="12548" max="12548" width="9.4140625" style="707" customWidth="1"/>
    <col min="12549" max="12549" width="7.53125" style="707" customWidth="1"/>
    <col min="12550" max="12550" width="17.484375" style="707" customWidth="1"/>
    <col min="12551" max="12551" width="9.81640625" style="707" customWidth="1"/>
    <col min="12552" max="12552" width="13.5859375" style="707" customWidth="1"/>
    <col min="12553" max="12800" width="9.14453125" style="707"/>
    <col min="12801" max="12801" width="5.109375" style="707" customWidth="1"/>
    <col min="12802" max="12802" width="47.484375" style="707" customWidth="1"/>
    <col min="12803" max="12803" width="26.36328125" style="707" customWidth="1"/>
    <col min="12804" max="12804" width="9.4140625" style="707" customWidth="1"/>
    <col min="12805" max="12805" width="7.53125" style="707" customWidth="1"/>
    <col min="12806" max="12806" width="17.484375" style="707" customWidth="1"/>
    <col min="12807" max="12807" width="9.81640625" style="707" customWidth="1"/>
    <col min="12808" max="12808" width="13.5859375" style="707" customWidth="1"/>
    <col min="12809" max="13056" width="9.14453125" style="707"/>
    <col min="13057" max="13057" width="5.109375" style="707" customWidth="1"/>
    <col min="13058" max="13058" width="47.484375" style="707" customWidth="1"/>
    <col min="13059" max="13059" width="26.36328125" style="707" customWidth="1"/>
    <col min="13060" max="13060" width="9.4140625" style="707" customWidth="1"/>
    <col min="13061" max="13061" width="7.53125" style="707" customWidth="1"/>
    <col min="13062" max="13062" width="17.484375" style="707" customWidth="1"/>
    <col min="13063" max="13063" width="9.81640625" style="707" customWidth="1"/>
    <col min="13064" max="13064" width="13.5859375" style="707" customWidth="1"/>
    <col min="13065" max="13312" width="9.14453125" style="707"/>
    <col min="13313" max="13313" width="5.109375" style="707" customWidth="1"/>
    <col min="13314" max="13314" width="47.484375" style="707" customWidth="1"/>
    <col min="13315" max="13315" width="26.36328125" style="707" customWidth="1"/>
    <col min="13316" max="13316" width="9.4140625" style="707" customWidth="1"/>
    <col min="13317" max="13317" width="7.53125" style="707" customWidth="1"/>
    <col min="13318" max="13318" width="17.484375" style="707" customWidth="1"/>
    <col min="13319" max="13319" width="9.81640625" style="707" customWidth="1"/>
    <col min="13320" max="13320" width="13.5859375" style="707" customWidth="1"/>
    <col min="13321" max="13568" width="9.14453125" style="707"/>
    <col min="13569" max="13569" width="5.109375" style="707" customWidth="1"/>
    <col min="13570" max="13570" width="47.484375" style="707" customWidth="1"/>
    <col min="13571" max="13571" width="26.36328125" style="707" customWidth="1"/>
    <col min="13572" max="13572" width="9.4140625" style="707" customWidth="1"/>
    <col min="13573" max="13573" width="7.53125" style="707" customWidth="1"/>
    <col min="13574" max="13574" width="17.484375" style="707" customWidth="1"/>
    <col min="13575" max="13575" width="9.81640625" style="707" customWidth="1"/>
    <col min="13576" max="13576" width="13.5859375" style="707" customWidth="1"/>
    <col min="13577" max="13824" width="9.14453125" style="707"/>
    <col min="13825" max="13825" width="5.109375" style="707" customWidth="1"/>
    <col min="13826" max="13826" width="47.484375" style="707" customWidth="1"/>
    <col min="13827" max="13827" width="26.36328125" style="707" customWidth="1"/>
    <col min="13828" max="13828" width="9.4140625" style="707" customWidth="1"/>
    <col min="13829" max="13829" width="7.53125" style="707" customWidth="1"/>
    <col min="13830" max="13830" width="17.484375" style="707" customWidth="1"/>
    <col min="13831" max="13831" width="9.81640625" style="707" customWidth="1"/>
    <col min="13832" max="13832" width="13.5859375" style="707" customWidth="1"/>
    <col min="13833" max="14080" width="9.14453125" style="707"/>
    <col min="14081" max="14081" width="5.109375" style="707" customWidth="1"/>
    <col min="14082" max="14082" width="47.484375" style="707" customWidth="1"/>
    <col min="14083" max="14083" width="26.36328125" style="707" customWidth="1"/>
    <col min="14084" max="14084" width="9.4140625" style="707" customWidth="1"/>
    <col min="14085" max="14085" width="7.53125" style="707" customWidth="1"/>
    <col min="14086" max="14086" width="17.484375" style="707" customWidth="1"/>
    <col min="14087" max="14087" width="9.81640625" style="707" customWidth="1"/>
    <col min="14088" max="14088" width="13.5859375" style="707" customWidth="1"/>
    <col min="14089" max="14336" width="9.14453125" style="707"/>
    <col min="14337" max="14337" width="5.109375" style="707" customWidth="1"/>
    <col min="14338" max="14338" width="47.484375" style="707" customWidth="1"/>
    <col min="14339" max="14339" width="26.36328125" style="707" customWidth="1"/>
    <col min="14340" max="14340" width="9.4140625" style="707" customWidth="1"/>
    <col min="14341" max="14341" width="7.53125" style="707" customWidth="1"/>
    <col min="14342" max="14342" width="17.484375" style="707" customWidth="1"/>
    <col min="14343" max="14343" width="9.81640625" style="707" customWidth="1"/>
    <col min="14344" max="14344" width="13.5859375" style="707" customWidth="1"/>
    <col min="14345" max="14592" width="9.14453125" style="707"/>
    <col min="14593" max="14593" width="5.109375" style="707" customWidth="1"/>
    <col min="14594" max="14594" width="47.484375" style="707" customWidth="1"/>
    <col min="14595" max="14595" width="26.36328125" style="707" customWidth="1"/>
    <col min="14596" max="14596" width="9.4140625" style="707" customWidth="1"/>
    <col min="14597" max="14597" width="7.53125" style="707" customWidth="1"/>
    <col min="14598" max="14598" width="17.484375" style="707" customWidth="1"/>
    <col min="14599" max="14599" width="9.81640625" style="707" customWidth="1"/>
    <col min="14600" max="14600" width="13.5859375" style="707" customWidth="1"/>
    <col min="14601" max="14848" width="9.14453125" style="707"/>
    <col min="14849" max="14849" width="5.109375" style="707" customWidth="1"/>
    <col min="14850" max="14850" width="47.484375" style="707" customWidth="1"/>
    <col min="14851" max="14851" width="26.36328125" style="707" customWidth="1"/>
    <col min="14852" max="14852" width="9.4140625" style="707" customWidth="1"/>
    <col min="14853" max="14853" width="7.53125" style="707" customWidth="1"/>
    <col min="14854" max="14854" width="17.484375" style="707" customWidth="1"/>
    <col min="14855" max="14855" width="9.81640625" style="707" customWidth="1"/>
    <col min="14856" max="14856" width="13.5859375" style="707" customWidth="1"/>
    <col min="14857" max="15104" width="9.14453125" style="707"/>
    <col min="15105" max="15105" width="5.109375" style="707" customWidth="1"/>
    <col min="15106" max="15106" width="47.484375" style="707" customWidth="1"/>
    <col min="15107" max="15107" width="26.36328125" style="707" customWidth="1"/>
    <col min="15108" max="15108" width="9.4140625" style="707" customWidth="1"/>
    <col min="15109" max="15109" width="7.53125" style="707" customWidth="1"/>
    <col min="15110" max="15110" width="17.484375" style="707" customWidth="1"/>
    <col min="15111" max="15111" width="9.81640625" style="707" customWidth="1"/>
    <col min="15112" max="15112" width="13.5859375" style="707" customWidth="1"/>
    <col min="15113" max="15360" width="9.14453125" style="707"/>
    <col min="15361" max="15361" width="5.109375" style="707" customWidth="1"/>
    <col min="15362" max="15362" width="47.484375" style="707" customWidth="1"/>
    <col min="15363" max="15363" width="26.36328125" style="707" customWidth="1"/>
    <col min="15364" max="15364" width="9.4140625" style="707" customWidth="1"/>
    <col min="15365" max="15365" width="7.53125" style="707" customWidth="1"/>
    <col min="15366" max="15366" width="17.484375" style="707" customWidth="1"/>
    <col min="15367" max="15367" width="9.81640625" style="707" customWidth="1"/>
    <col min="15368" max="15368" width="13.5859375" style="707" customWidth="1"/>
    <col min="15369" max="15616" width="9.14453125" style="707"/>
    <col min="15617" max="15617" width="5.109375" style="707" customWidth="1"/>
    <col min="15618" max="15618" width="47.484375" style="707" customWidth="1"/>
    <col min="15619" max="15619" width="26.36328125" style="707" customWidth="1"/>
    <col min="15620" max="15620" width="9.4140625" style="707" customWidth="1"/>
    <col min="15621" max="15621" width="7.53125" style="707" customWidth="1"/>
    <col min="15622" max="15622" width="17.484375" style="707" customWidth="1"/>
    <col min="15623" max="15623" width="9.81640625" style="707" customWidth="1"/>
    <col min="15624" max="15624" width="13.5859375" style="707" customWidth="1"/>
    <col min="15625" max="15872" width="9.14453125" style="707"/>
    <col min="15873" max="15873" width="5.109375" style="707" customWidth="1"/>
    <col min="15874" max="15874" width="47.484375" style="707" customWidth="1"/>
    <col min="15875" max="15875" width="26.36328125" style="707" customWidth="1"/>
    <col min="15876" max="15876" width="9.4140625" style="707" customWidth="1"/>
    <col min="15877" max="15877" width="7.53125" style="707" customWidth="1"/>
    <col min="15878" max="15878" width="17.484375" style="707" customWidth="1"/>
    <col min="15879" max="15879" width="9.81640625" style="707" customWidth="1"/>
    <col min="15880" max="15880" width="13.5859375" style="707" customWidth="1"/>
    <col min="15881" max="16128" width="9.14453125" style="707"/>
    <col min="16129" max="16129" width="5.109375" style="707" customWidth="1"/>
    <col min="16130" max="16130" width="47.484375" style="707" customWidth="1"/>
    <col min="16131" max="16131" width="26.36328125" style="707" customWidth="1"/>
    <col min="16132" max="16132" width="9.4140625" style="707" customWidth="1"/>
    <col min="16133" max="16133" width="7.53125" style="707" customWidth="1"/>
    <col min="16134" max="16134" width="17.484375" style="707" customWidth="1"/>
    <col min="16135" max="16135" width="9.81640625" style="707" customWidth="1"/>
    <col min="16136" max="16136" width="13.5859375" style="707" customWidth="1"/>
    <col min="16137" max="16384" width="9.14453125" style="707"/>
  </cols>
  <sheetData>
    <row r="1" spans="1:8">
      <c r="F1" s="1653" t="s">
        <v>704</v>
      </c>
      <c r="G1" s="1653"/>
      <c r="H1" s="1653"/>
    </row>
    <row r="2" spans="1:8">
      <c r="F2" s="1653" t="s">
        <v>705</v>
      </c>
      <c r="G2" s="1653"/>
      <c r="H2" s="1653"/>
    </row>
    <row r="3" spans="1:8">
      <c r="H3" s="710"/>
    </row>
    <row r="4" spans="1:8" ht="45" customHeight="1" thickBot="1">
      <c r="A4" s="1654" t="s">
        <v>706</v>
      </c>
      <c r="B4" s="1655"/>
      <c r="C4" s="1655"/>
      <c r="D4" s="1655"/>
      <c r="E4" s="1655"/>
      <c r="F4" s="1655"/>
      <c r="G4" s="1655"/>
      <c r="H4" s="1655"/>
    </row>
    <row r="5" spans="1:8" ht="45.75" customHeight="1">
      <c r="A5" s="1656" t="s">
        <v>707</v>
      </c>
      <c r="B5" s="1658" t="s">
        <v>708</v>
      </c>
      <c r="C5" s="1658" t="s">
        <v>709</v>
      </c>
      <c r="D5" s="1660" t="s">
        <v>710</v>
      </c>
      <c r="E5" s="1661"/>
      <c r="F5" s="1658" t="s">
        <v>711</v>
      </c>
      <c r="G5" s="1662" t="s">
        <v>712</v>
      </c>
      <c r="H5" s="1664" t="s">
        <v>713</v>
      </c>
    </row>
    <row r="6" spans="1:8" ht="14.25" thickBot="1">
      <c r="A6" s="1657"/>
      <c r="B6" s="1659"/>
      <c r="C6" s="1659"/>
      <c r="D6" s="711" t="s">
        <v>158</v>
      </c>
      <c r="E6" s="712" t="s">
        <v>16</v>
      </c>
      <c r="F6" s="1659"/>
      <c r="G6" s="1663"/>
      <c r="H6" s="1665"/>
    </row>
    <row r="7" spans="1:8">
      <c r="A7" s="1656">
        <v>1</v>
      </c>
      <c r="B7" s="1658"/>
      <c r="C7" s="1658"/>
      <c r="D7" s="1658" t="s">
        <v>534</v>
      </c>
      <c r="E7" s="1658">
        <v>1</v>
      </c>
      <c r="F7" s="713" t="s">
        <v>714</v>
      </c>
      <c r="G7" s="714">
        <v>200</v>
      </c>
      <c r="H7" s="1664"/>
    </row>
    <row r="8" spans="1:8" ht="26.25">
      <c r="A8" s="1667"/>
      <c r="B8" s="1669"/>
      <c r="C8" s="1669"/>
      <c r="D8" s="1669"/>
      <c r="E8" s="1669"/>
      <c r="F8" s="715" t="s">
        <v>715</v>
      </c>
      <c r="G8" s="716">
        <v>50</v>
      </c>
      <c r="H8" s="1672"/>
    </row>
    <row r="9" spans="1:8">
      <c r="A9" s="1666">
        <v>2</v>
      </c>
      <c r="B9" s="1668"/>
      <c r="C9" s="1668"/>
      <c r="D9" s="1670" t="s">
        <v>534</v>
      </c>
      <c r="E9" s="1668">
        <v>2</v>
      </c>
      <c r="F9" s="715" t="s">
        <v>716</v>
      </c>
      <c r="G9" s="716">
        <v>200</v>
      </c>
      <c r="H9" s="1671"/>
    </row>
    <row r="10" spans="1:8" ht="26.25">
      <c r="A10" s="1667"/>
      <c r="B10" s="1669"/>
      <c r="C10" s="1669"/>
      <c r="D10" s="1669"/>
      <c r="E10" s="1669"/>
      <c r="F10" s="715" t="s">
        <v>717</v>
      </c>
      <c r="G10" s="716">
        <v>50</v>
      </c>
      <c r="H10" s="1672"/>
    </row>
    <row r="11" spans="1:8">
      <c r="A11" s="1679">
        <v>3</v>
      </c>
      <c r="B11" s="1670"/>
      <c r="C11" s="1670"/>
      <c r="D11" s="1670" t="s">
        <v>534</v>
      </c>
      <c r="E11" s="1670">
        <v>3</v>
      </c>
      <c r="F11" s="717" t="s">
        <v>718</v>
      </c>
      <c r="G11" s="718">
        <v>200</v>
      </c>
      <c r="H11" s="1682"/>
    </row>
    <row r="12" spans="1:8" ht="27" thickBot="1">
      <c r="A12" s="1680"/>
      <c r="B12" s="1681"/>
      <c r="C12" s="1681"/>
      <c r="D12" s="1681"/>
      <c r="E12" s="1681"/>
      <c r="F12" s="719" t="s">
        <v>719</v>
      </c>
      <c r="G12" s="720">
        <v>50</v>
      </c>
      <c r="H12" s="1683"/>
    </row>
    <row r="13" spans="1:8">
      <c r="A13" s="1673">
        <v>4</v>
      </c>
      <c r="B13" s="1675"/>
      <c r="C13" s="1675"/>
      <c r="D13" s="1675" t="s">
        <v>534</v>
      </c>
      <c r="E13" s="1675">
        <v>1</v>
      </c>
      <c r="F13" s="713" t="s">
        <v>714</v>
      </c>
      <c r="G13" s="714">
        <v>200</v>
      </c>
      <c r="H13" s="1677"/>
    </row>
    <row r="14" spans="1:8" ht="26.25">
      <c r="A14" s="1674"/>
      <c r="B14" s="1676"/>
      <c r="C14" s="1676"/>
      <c r="D14" s="1676"/>
      <c r="E14" s="1676"/>
      <c r="F14" s="715" t="s">
        <v>715</v>
      </c>
      <c r="G14" s="716">
        <v>50</v>
      </c>
      <c r="H14" s="1678"/>
    </row>
    <row r="15" spans="1:8">
      <c r="A15" s="1684">
        <v>5</v>
      </c>
      <c r="B15" s="1686"/>
      <c r="C15" s="1686"/>
      <c r="D15" s="1686" t="s">
        <v>534</v>
      </c>
      <c r="E15" s="1686">
        <v>2</v>
      </c>
      <c r="F15" s="715" t="s">
        <v>716</v>
      </c>
      <c r="G15" s="716">
        <v>200</v>
      </c>
      <c r="H15" s="1688"/>
    </row>
    <row r="16" spans="1:8" ht="26.25">
      <c r="A16" s="1674"/>
      <c r="B16" s="1676"/>
      <c r="C16" s="1676"/>
      <c r="D16" s="1676"/>
      <c r="E16" s="1676"/>
      <c r="F16" s="715" t="s">
        <v>717</v>
      </c>
      <c r="G16" s="716">
        <v>50</v>
      </c>
      <c r="H16" s="1678"/>
    </row>
    <row r="17" spans="1:8">
      <c r="A17" s="1684">
        <v>6</v>
      </c>
      <c r="B17" s="1686"/>
      <c r="C17" s="1686"/>
      <c r="D17" s="1686" t="s">
        <v>534</v>
      </c>
      <c r="E17" s="1686">
        <v>3</v>
      </c>
      <c r="F17" s="715" t="s">
        <v>718</v>
      </c>
      <c r="G17" s="716">
        <v>200</v>
      </c>
      <c r="H17" s="1688"/>
    </row>
    <row r="18" spans="1:8" ht="27" thickBot="1">
      <c r="A18" s="1685"/>
      <c r="B18" s="1687"/>
      <c r="C18" s="1687"/>
      <c r="D18" s="1687"/>
      <c r="E18" s="1687"/>
      <c r="F18" s="719" t="s">
        <v>719</v>
      </c>
      <c r="G18" s="720">
        <v>50</v>
      </c>
      <c r="H18" s="1689"/>
    </row>
    <row r="19" spans="1:8" s="724" customFormat="1" ht="87" customHeight="1" thickBot="1">
      <c r="A19" s="721"/>
      <c r="B19" s="721"/>
      <c r="C19" s="721"/>
      <c r="D19" s="721"/>
      <c r="E19" s="721"/>
      <c r="F19" s="722"/>
      <c r="G19" s="723"/>
      <c r="H19" s="721"/>
    </row>
    <row r="20" spans="1:8">
      <c r="A20" s="1656">
        <v>7</v>
      </c>
      <c r="B20" s="1692"/>
      <c r="C20" s="1658" t="str">
        <f>'[2]Итоговый протокол'!$F$294</f>
        <v>Ярославская область</v>
      </c>
      <c r="D20" s="1658" t="s">
        <v>720</v>
      </c>
      <c r="E20" s="1658">
        <v>1</v>
      </c>
      <c r="F20" s="713" t="s">
        <v>714</v>
      </c>
      <c r="G20" s="714">
        <v>200</v>
      </c>
      <c r="H20" s="1664"/>
    </row>
    <row r="21" spans="1:8" ht="26.25">
      <c r="A21" s="1667"/>
      <c r="B21" s="1691"/>
      <c r="C21" s="1669"/>
      <c r="D21" s="1669"/>
      <c r="E21" s="1669"/>
      <c r="F21" s="715" t="s">
        <v>715</v>
      </c>
      <c r="G21" s="716">
        <v>50</v>
      </c>
      <c r="H21" s="1672"/>
    </row>
    <row r="22" spans="1:8">
      <c r="A22" s="1666">
        <v>8</v>
      </c>
      <c r="B22" s="1690"/>
      <c r="C22" s="1668" t="str">
        <f>'[2]Итоговый протокол'!$F$294</f>
        <v>Ярославская область</v>
      </c>
      <c r="D22" s="1668" t="s">
        <v>720</v>
      </c>
      <c r="E22" s="1668">
        <v>1</v>
      </c>
      <c r="F22" s="715" t="s">
        <v>714</v>
      </c>
      <c r="G22" s="716">
        <v>200</v>
      </c>
      <c r="H22" s="1671"/>
    </row>
    <row r="23" spans="1:8" ht="26.25">
      <c r="A23" s="1667"/>
      <c r="B23" s="1691"/>
      <c r="C23" s="1669"/>
      <c r="D23" s="1669"/>
      <c r="E23" s="1669"/>
      <c r="F23" s="715" t="s">
        <v>715</v>
      </c>
      <c r="G23" s="716">
        <v>50</v>
      </c>
      <c r="H23" s="1672"/>
    </row>
    <row r="24" spans="1:8">
      <c r="A24" s="1666">
        <f>A22+1</f>
        <v>9</v>
      </c>
      <c r="B24" s="1690"/>
      <c r="C24" s="1668" t="str">
        <f>'[2]Итоговый протокол'!$F$294</f>
        <v>Ярославская область</v>
      </c>
      <c r="D24" s="1668" t="s">
        <v>720</v>
      </c>
      <c r="E24" s="1668">
        <v>1</v>
      </c>
      <c r="F24" s="715" t="s">
        <v>714</v>
      </c>
      <c r="G24" s="716">
        <v>200</v>
      </c>
      <c r="H24" s="1671"/>
    </row>
    <row r="25" spans="1:8" ht="26.25">
      <c r="A25" s="1667"/>
      <c r="B25" s="1691"/>
      <c r="C25" s="1669"/>
      <c r="D25" s="1669"/>
      <c r="E25" s="1669"/>
      <c r="F25" s="715" t="s">
        <v>715</v>
      </c>
      <c r="G25" s="716">
        <v>50</v>
      </c>
      <c r="H25" s="1672"/>
    </row>
    <row r="26" spans="1:8">
      <c r="A26" s="1666">
        <f>A24+1</f>
        <v>10</v>
      </c>
      <c r="B26" s="1690"/>
      <c r="C26" s="1668" t="str">
        <f>'[2]Итоговый протокол'!$F$294</f>
        <v>Ярославская область</v>
      </c>
      <c r="D26" s="1668" t="s">
        <v>720</v>
      </c>
      <c r="E26" s="1668">
        <v>1</v>
      </c>
      <c r="F26" s="715" t="s">
        <v>714</v>
      </c>
      <c r="G26" s="716">
        <v>200</v>
      </c>
      <c r="H26" s="1671"/>
    </row>
    <row r="27" spans="1:8" ht="27" thickBot="1">
      <c r="A27" s="1680"/>
      <c r="B27" s="1693"/>
      <c r="C27" s="1681"/>
      <c r="D27" s="1681"/>
      <c r="E27" s="1681"/>
      <c r="F27" s="719" t="s">
        <v>715</v>
      </c>
      <c r="G27" s="720">
        <v>50</v>
      </c>
      <c r="H27" s="1683"/>
    </row>
    <row r="28" spans="1:8">
      <c r="A28" s="1656">
        <v>11</v>
      </c>
      <c r="B28" s="1692"/>
      <c r="C28" s="1658" t="str">
        <f>'[2]Итоговый протокол'!$F$300</f>
        <v>Тульская область</v>
      </c>
      <c r="D28" s="1658" t="s">
        <v>720</v>
      </c>
      <c r="E28" s="1658">
        <v>2</v>
      </c>
      <c r="F28" s="713" t="s">
        <v>716</v>
      </c>
      <c r="G28" s="714">
        <v>200</v>
      </c>
      <c r="H28" s="1664"/>
    </row>
    <row r="29" spans="1:8" ht="26.25">
      <c r="A29" s="1695"/>
      <c r="B29" s="1691"/>
      <c r="C29" s="1669"/>
      <c r="D29" s="1694"/>
      <c r="E29" s="1694"/>
      <c r="F29" s="715" t="s">
        <v>717</v>
      </c>
      <c r="G29" s="716">
        <v>50</v>
      </c>
      <c r="H29" s="1696"/>
    </row>
    <row r="30" spans="1:8">
      <c r="A30" s="1666">
        <v>12</v>
      </c>
      <c r="B30" s="1690"/>
      <c r="C30" s="1668" t="str">
        <f>'[2]Итоговый протокол'!$F$300</f>
        <v>Тульская область</v>
      </c>
      <c r="D30" s="1668" t="s">
        <v>720</v>
      </c>
      <c r="E30" s="1668">
        <v>2</v>
      </c>
      <c r="F30" s="715" t="s">
        <v>716</v>
      </c>
      <c r="G30" s="716">
        <v>200</v>
      </c>
      <c r="H30" s="1671"/>
    </row>
    <row r="31" spans="1:8" ht="26.25">
      <c r="A31" s="1667"/>
      <c r="B31" s="1691"/>
      <c r="C31" s="1669"/>
      <c r="D31" s="1694"/>
      <c r="E31" s="1669"/>
      <c r="F31" s="715" t="s">
        <v>717</v>
      </c>
      <c r="G31" s="716">
        <v>50</v>
      </c>
      <c r="H31" s="1672"/>
    </row>
    <row r="32" spans="1:8">
      <c r="A32" s="1666">
        <f>A30+1</f>
        <v>13</v>
      </c>
      <c r="B32" s="1690"/>
      <c r="C32" s="1668" t="str">
        <f>'[2]Итоговый протокол'!$F$300</f>
        <v>Тульская область</v>
      </c>
      <c r="D32" s="1668" t="s">
        <v>720</v>
      </c>
      <c r="E32" s="1668">
        <v>2</v>
      </c>
      <c r="F32" s="715" t="s">
        <v>716</v>
      </c>
      <c r="G32" s="716">
        <v>200</v>
      </c>
      <c r="H32" s="1671"/>
    </row>
    <row r="33" spans="1:8" ht="26.25">
      <c r="A33" s="1667"/>
      <c r="B33" s="1691"/>
      <c r="C33" s="1669"/>
      <c r="D33" s="1694"/>
      <c r="E33" s="1669"/>
      <c r="F33" s="715" t="s">
        <v>717</v>
      </c>
      <c r="G33" s="716">
        <v>50</v>
      </c>
      <c r="H33" s="1672"/>
    </row>
    <row r="34" spans="1:8">
      <c r="A34" s="1666">
        <f>A32+1</f>
        <v>14</v>
      </c>
      <c r="B34" s="1690"/>
      <c r="C34" s="1668" t="str">
        <f>'[2]Итоговый протокол'!$F$300</f>
        <v>Тульская область</v>
      </c>
      <c r="D34" s="1668" t="s">
        <v>720</v>
      </c>
      <c r="E34" s="1668">
        <v>2</v>
      </c>
      <c r="F34" s="715" t="s">
        <v>716</v>
      </c>
      <c r="G34" s="716">
        <v>200</v>
      </c>
      <c r="H34" s="1671"/>
    </row>
    <row r="35" spans="1:8" ht="27" thickBot="1">
      <c r="A35" s="1697"/>
      <c r="B35" s="1698"/>
      <c r="C35" s="1699"/>
      <c r="D35" s="1670"/>
      <c r="E35" s="1699"/>
      <c r="F35" s="725" t="s">
        <v>717</v>
      </c>
      <c r="G35" s="726">
        <v>50</v>
      </c>
      <c r="H35" s="1700"/>
    </row>
    <row r="36" spans="1:8">
      <c r="A36" s="1704">
        <v>15</v>
      </c>
      <c r="B36" s="1705"/>
      <c r="C36" s="1675" t="str">
        <f>'[2]Итоговый протокол'!$F$304</f>
        <v>Челябинская область</v>
      </c>
      <c r="D36" s="1658" t="s">
        <v>720</v>
      </c>
      <c r="E36" s="1675">
        <v>3</v>
      </c>
      <c r="F36" s="713" t="s">
        <v>718</v>
      </c>
      <c r="G36" s="714">
        <v>200</v>
      </c>
      <c r="H36" s="1677"/>
    </row>
    <row r="37" spans="1:8" ht="26.25">
      <c r="A37" s="1702"/>
      <c r="B37" s="1703"/>
      <c r="C37" s="1676"/>
      <c r="D37" s="1694"/>
      <c r="E37" s="1676"/>
      <c r="F37" s="715" t="s">
        <v>719</v>
      </c>
      <c r="G37" s="716">
        <v>50</v>
      </c>
      <c r="H37" s="1678"/>
    </row>
    <row r="38" spans="1:8">
      <c r="A38" s="1701">
        <v>16</v>
      </c>
      <c r="B38" s="1703"/>
      <c r="C38" s="1686" t="str">
        <f>'[2]Итоговый протокол'!$F$304</f>
        <v>Челябинская область</v>
      </c>
      <c r="D38" s="1668" t="s">
        <v>720</v>
      </c>
      <c r="E38" s="1686">
        <v>3</v>
      </c>
      <c r="F38" s="715" t="s">
        <v>718</v>
      </c>
      <c r="G38" s="716">
        <v>200</v>
      </c>
      <c r="H38" s="1688"/>
    </row>
    <row r="39" spans="1:8" ht="26.25">
      <c r="A39" s="1702"/>
      <c r="B39" s="1703"/>
      <c r="C39" s="1676"/>
      <c r="D39" s="1694"/>
      <c r="E39" s="1676"/>
      <c r="F39" s="715" t="s">
        <v>719</v>
      </c>
      <c r="G39" s="716">
        <v>50</v>
      </c>
      <c r="H39" s="1678"/>
    </row>
    <row r="40" spans="1:8">
      <c r="A40" s="1701">
        <f>A38+1</f>
        <v>17</v>
      </c>
      <c r="B40" s="1703"/>
      <c r="C40" s="1686" t="str">
        <f>'[2]Итоговый протокол'!$F$304</f>
        <v>Челябинская область</v>
      </c>
      <c r="D40" s="1668" t="s">
        <v>720</v>
      </c>
      <c r="E40" s="1686">
        <v>3</v>
      </c>
      <c r="F40" s="715" t="s">
        <v>718</v>
      </c>
      <c r="G40" s="716">
        <v>200</v>
      </c>
      <c r="H40" s="1688"/>
    </row>
    <row r="41" spans="1:8" ht="26.25">
      <c r="A41" s="1702"/>
      <c r="B41" s="1703"/>
      <c r="C41" s="1676"/>
      <c r="D41" s="1694"/>
      <c r="E41" s="1676"/>
      <c r="F41" s="715" t="s">
        <v>719</v>
      </c>
      <c r="G41" s="716">
        <v>50</v>
      </c>
      <c r="H41" s="1678"/>
    </row>
    <row r="42" spans="1:8">
      <c r="A42" s="1701">
        <f>A40+1</f>
        <v>18</v>
      </c>
      <c r="B42" s="1703"/>
      <c r="C42" s="1686" t="str">
        <f>'[2]Итоговый протокол'!$F$304</f>
        <v>Челябинская область</v>
      </c>
      <c r="D42" s="1668" t="s">
        <v>720</v>
      </c>
      <c r="E42" s="1686">
        <v>3</v>
      </c>
      <c r="F42" s="715" t="s">
        <v>718</v>
      </c>
      <c r="G42" s="716">
        <v>200</v>
      </c>
      <c r="H42" s="1688"/>
    </row>
    <row r="43" spans="1:8" ht="27" thickBot="1">
      <c r="A43" s="1706"/>
      <c r="B43" s="1707"/>
      <c r="C43" s="1687"/>
      <c r="D43" s="1659"/>
      <c r="E43" s="1687"/>
      <c r="F43" s="719" t="s">
        <v>719</v>
      </c>
      <c r="G43" s="720">
        <v>50</v>
      </c>
      <c r="H43" s="1689"/>
    </row>
    <row r="44" spans="1:8">
      <c r="G44" s="727"/>
    </row>
    <row r="45" spans="1:8">
      <c r="F45" s="708" t="s">
        <v>721</v>
      </c>
      <c r="G45" s="727">
        <f>SUM(G7:G43)</f>
        <v>4500</v>
      </c>
    </row>
  </sheetData>
  <mergeCells count="118">
    <mergeCell ref="A42:A43"/>
    <mergeCell ref="B42:B43"/>
    <mergeCell ref="C42:C43"/>
    <mergeCell ref="D42:D43"/>
    <mergeCell ref="E42:E43"/>
    <mergeCell ref="H42:H43"/>
    <mergeCell ref="A40:A41"/>
    <mergeCell ref="B40:B41"/>
    <mergeCell ref="C40:C41"/>
    <mergeCell ref="D40:D41"/>
    <mergeCell ref="E40:E41"/>
    <mergeCell ref="H40:H41"/>
    <mergeCell ref="A38:A39"/>
    <mergeCell ref="B38:B39"/>
    <mergeCell ref="C38:C39"/>
    <mergeCell ref="D38:D39"/>
    <mergeCell ref="E38:E39"/>
    <mergeCell ref="H38:H39"/>
    <mergeCell ref="A36:A37"/>
    <mergeCell ref="B36:B37"/>
    <mergeCell ref="C36:C37"/>
    <mergeCell ref="D36:D37"/>
    <mergeCell ref="E36:E37"/>
    <mergeCell ref="H36:H37"/>
    <mergeCell ref="A34:A35"/>
    <mergeCell ref="B34:B35"/>
    <mergeCell ref="C34:C35"/>
    <mergeCell ref="D34:D35"/>
    <mergeCell ref="E34:E35"/>
    <mergeCell ref="H34:H35"/>
    <mergeCell ref="A32:A33"/>
    <mergeCell ref="B32:B33"/>
    <mergeCell ref="C32:C33"/>
    <mergeCell ref="D32:D33"/>
    <mergeCell ref="E32:E33"/>
    <mergeCell ref="H32:H33"/>
    <mergeCell ref="A30:A31"/>
    <mergeCell ref="B30:B31"/>
    <mergeCell ref="C30:C31"/>
    <mergeCell ref="D30:D31"/>
    <mergeCell ref="E30:E31"/>
    <mergeCell ref="H30:H31"/>
    <mergeCell ref="A28:A29"/>
    <mergeCell ref="B28:B29"/>
    <mergeCell ref="C28:C29"/>
    <mergeCell ref="D28:D29"/>
    <mergeCell ref="E28:E29"/>
    <mergeCell ref="H28:H29"/>
    <mergeCell ref="A26:A27"/>
    <mergeCell ref="B26:B27"/>
    <mergeCell ref="C26:C27"/>
    <mergeCell ref="D26:D27"/>
    <mergeCell ref="E26:E27"/>
    <mergeCell ref="H26:H27"/>
    <mergeCell ref="A24:A25"/>
    <mergeCell ref="B24:B25"/>
    <mergeCell ref="C24:C25"/>
    <mergeCell ref="D24:D25"/>
    <mergeCell ref="E24:E25"/>
    <mergeCell ref="H24:H25"/>
    <mergeCell ref="A22:A23"/>
    <mergeCell ref="B22:B23"/>
    <mergeCell ref="C22:C23"/>
    <mergeCell ref="D22:D23"/>
    <mergeCell ref="E22:E23"/>
    <mergeCell ref="H22:H23"/>
    <mergeCell ref="A20:A21"/>
    <mergeCell ref="B20:B21"/>
    <mergeCell ref="C20:C21"/>
    <mergeCell ref="D20:D21"/>
    <mergeCell ref="E20:E21"/>
    <mergeCell ref="H20:H21"/>
    <mergeCell ref="A17:A18"/>
    <mergeCell ref="B17:B18"/>
    <mergeCell ref="C17:C18"/>
    <mergeCell ref="D17:D18"/>
    <mergeCell ref="E17:E18"/>
    <mergeCell ref="H17:H18"/>
    <mergeCell ref="A15:A16"/>
    <mergeCell ref="B15:B16"/>
    <mergeCell ref="C15:C16"/>
    <mergeCell ref="D15:D16"/>
    <mergeCell ref="E15:E16"/>
    <mergeCell ref="H15:H16"/>
    <mergeCell ref="A13:A14"/>
    <mergeCell ref="B13:B14"/>
    <mergeCell ref="C13:C14"/>
    <mergeCell ref="D13:D14"/>
    <mergeCell ref="E13:E14"/>
    <mergeCell ref="H13:H14"/>
    <mergeCell ref="A11:A12"/>
    <mergeCell ref="B11:B12"/>
    <mergeCell ref="C11:C12"/>
    <mergeCell ref="D11:D12"/>
    <mergeCell ref="E11:E12"/>
    <mergeCell ref="H11:H12"/>
    <mergeCell ref="A9:A10"/>
    <mergeCell ref="B9:B10"/>
    <mergeCell ref="C9:C10"/>
    <mergeCell ref="D9:D10"/>
    <mergeCell ref="E9:E10"/>
    <mergeCell ref="H9:H10"/>
    <mergeCell ref="A7:A8"/>
    <mergeCell ref="B7:B8"/>
    <mergeCell ref="C7:C8"/>
    <mergeCell ref="D7:D8"/>
    <mergeCell ref="E7:E8"/>
    <mergeCell ref="H7:H8"/>
    <mergeCell ref="F1:H1"/>
    <mergeCell ref="F2:H2"/>
    <mergeCell ref="A4:H4"/>
    <mergeCell ref="A5:A6"/>
    <mergeCell ref="B5:B6"/>
    <mergeCell ref="C5:C6"/>
    <mergeCell ref="D5:E5"/>
    <mergeCell ref="F5:F6"/>
    <mergeCell ref="G5:G6"/>
    <mergeCell ref="H5:H6"/>
  </mergeCells>
  <pageMargins left="0.35433070866141736" right="0.35433070866141736" top="0.59055118110236227" bottom="0.35433070866141736" header="0" footer="0"/>
  <pageSetup paperSize="9" scale="90" orientation="landscape" r:id="rId1"/>
  <headerFooter differentFirst="1" alignWithMargins="0">
    <oddFooter>&amp;RСтр. &amp;P из &amp;N</oddFooter>
  </headerFooter>
  <rowBreaks count="1" manualBreakCount="1">
    <brk id="19" max="7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Лист13">
    <tabColor theme="7" tint="-0.249977111117893"/>
  </sheetPr>
  <dimension ref="A1:BM107"/>
  <sheetViews>
    <sheetView topLeftCell="A4" workbookViewId="0">
      <selection activeCell="D21" sqref="D21"/>
    </sheetView>
  </sheetViews>
  <sheetFormatPr defaultColWidth="9.14453125" defaultRowHeight="15"/>
  <cols>
    <col min="1" max="1" width="2.6875" style="232" customWidth="1"/>
    <col min="2" max="2" width="6.45703125" style="232" customWidth="1"/>
    <col min="3" max="3" width="11.43359375" style="232" customWidth="1"/>
    <col min="4" max="4" width="5.24609375" style="232" customWidth="1"/>
    <col min="5" max="5" width="6.3203125" style="232" customWidth="1"/>
    <col min="6" max="6" width="8.609375" style="232" customWidth="1"/>
    <col min="7" max="7" width="6.05078125" style="232" customWidth="1"/>
    <col min="8" max="8" width="15.33203125" style="232" customWidth="1"/>
    <col min="9" max="9" width="4.3046875" style="232" customWidth="1"/>
    <col min="10" max="10" width="2.6875" style="232" customWidth="1"/>
    <col min="11" max="11" width="9.81640625" style="232" customWidth="1"/>
    <col min="12" max="12" width="3.765625" style="232" customWidth="1"/>
    <col min="13" max="13" width="9.4140625" style="232" customWidth="1"/>
    <col min="14" max="14" width="3.09375" style="232" customWidth="1"/>
    <col min="15" max="15" width="2.95703125" style="232" customWidth="1"/>
    <col min="16" max="16" width="6.859375" style="232" bestFit="1" customWidth="1"/>
    <col min="17" max="17" width="5.6484375" style="232" customWidth="1"/>
    <col min="18" max="18" width="7.6640625" style="232" customWidth="1"/>
    <col min="19" max="19" width="6.1875" style="232" bestFit="1" customWidth="1"/>
    <col min="20" max="20" width="6.1875" style="232" customWidth="1"/>
    <col min="21" max="21" width="7.53125" style="232" bestFit="1" customWidth="1"/>
    <col min="22" max="22" width="2.015625" style="232" customWidth="1"/>
    <col min="23" max="23" width="6.9921875" style="232" bestFit="1" customWidth="1"/>
    <col min="24" max="24" width="2.015625" style="232" bestFit="1" customWidth="1"/>
    <col min="25" max="25" width="6.9921875" style="232" bestFit="1" customWidth="1"/>
    <col min="26" max="26" width="2.41796875" style="232" customWidth="1"/>
    <col min="27" max="27" width="5.91796875" style="232" customWidth="1"/>
    <col min="28" max="28" width="2.28515625" style="232" customWidth="1"/>
    <col min="29" max="29" width="5.91796875" style="232" customWidth="1"/>
    <col min="30" max="30" width="2.41796875" style="232" customWidth="1"/>
    <col min="31" max="31" width="5.91796875" style="232" customWidth="1"/>
    <col min="32" max="32" width="2.41796875" style="232" customWidth="1"/>
    <col min="33" max="33" width="5.91796875" style="232" customWidth="1"/>
    <col min="34" max="34" width="2.015625" style="232" bestFit="1" customWidth="1"/>
    <col min="35" max="35" width="5.91796875" style="232" customWidth="1"/>
    <col min="36" max="36" width="2.015625" style="232" bestFit="1" customWidth="1"/>
    <col min="37" max="37" width="5.91796875" style="232" customWidth="1"/>
    <col min="38" max="38" width="2.015625" style="232" bestFit="1" customWidth="1"/>
    <col min="39" max="39" width="5.91796875" style="232" customWidth="1"/>
    <col min="40" max="40" width="2.015625" style="232" bestFit="1" customWidth="1"/>
    <col min="41" max="41" width="2.5546875" style="232" bestFit="1" customWidth="1"/>
    <col min="42" max="42" width="5.6484375" style="232" customWidth="1"/>
    <col min="43" max="43" width="4.83984375" style="232" customWidth="1"/>
    <col min="44" max="44" width="6.05078125" style="232" customWidth="1"/>
    <col min="45" max="45" width="6.1875" style="232" customWidth="1"/>
    <col min="46" max="16384" width="9.14453125" style="232"/>
  </cols>
  <sheetData>
    <row r="1" spans="1:45" ht="18">
      <c r="A1" s="13"/>
      <c r="B1" s="211" t="s">
        <v>252</v>
      </c>
      <c r="C1" s="2"/>
      <c r="D1" s="104"/>
      <c r="E1" s="4"/>
      <c r="F1" s="4"/>
      <c r="G1" s="2"/>
      <c r="H1" s="2"/>
      <c r="I1" s="2"/>
      <c r="J1" s="2"/>
      <c r="K1" s="2"/>
      <c r="L1" s="60"/>
      <c r="M1" s="60"/>
      <c r="N1" s="60"/>
      <c r="O1" s="60"/>
      <c r="P1" s="58"/>
      <c r="Q1" s="58"/>
      <c r="R1" s="58"/>
      <c r="S1" s="58"/>
      <c r="T1" s="59"/>
      <c r="U1" s="59"/>
      <c r="V1" s="59"/>
      <c r="W1" s="59"/>
      <c r="X1" s="60"/>
      <c r="Y1" s="60"/>
      <c r="Z1" s="60"/>
      <c r="AA1" s="60"/>
      <c r="AB1" s="60"/>
      <c r="AC1" s="60"/>
      <c r="AD1" s="60"/>
      <c r="AE1" s="102"/>
      <c r="AF1" s="102"/>
      <c r="AG1" s="102"/>
      <c r="AH1" s="102"/>
      <c r="AI1" s="90"/>
      <c r="AJ1" s="182"/>
      <c r="AK1" s="90"/>
      <c r="AL1" s="182"/>
      <c r="AM1" s="59"/>
      <c r="AN1" s="3"/>
      <c r="AO1" s="3"/>
      <c r="AP1" s="3"/>
    </row>
    <row r="2" spans="1:45" s="334" customFormat="1">
      <c r="A2" s="335"/>
      <c r="B2" s="336" t="s">
        <v>255</v>
      </c>
      <c r="C2" s="336"/>
      <c r="D2" s="337"/>
      <c r="E2" s="338"/>
      <c r="F2" s="338"/>
      <c r="G2" s="336"/>
      <c r="H2" s="336"/>
      <c r="I2" s="336"/>
      <c r="J2" s="336"/>
      <c r="K2" s="336"/>
      <c r="L2" s="339"/>
      <c r="M2" s="339"/>
      <c r="N2" s="339"/>
      <c r="O2" s="339"/>
      <c r="P2" s="340"/>
      <c r="Q2" s="340"/>
      <c r="R2" s="340"/>
      <c r="S2" s="340"/>
      <c r="T2" s="341"/>
      <c r="U2" s="341"/>
      <c r="V2" s="341"/>
      <c r="W2" s="341"/>
      <c r="X2" s="339"/>
      <c r="Y2" s="339"/>
      <c r="Z2" s="339"/>
      <c r="AA2" s="339"/>
      <c r="AB2" s="339"/>
      <c r="AC2" s="339"/>
      <c r="AD2" s="339"/>
      <c r="AE2" s="342"/>
      <c r="AF2" s="346"/>
      <c r="AG2" s="346"/>
      <c r="AH2" s="346"/>
      <c r="AI2" s="347"/>
      <c r="AJ2" s="348"/>
      <c r="AK2" s="347"/>
      <c r="AL2" s="348"/>
      <c r="AM2" s="510"/>
      <c r="AN2" s="511"/>
      <c r="AO2" s="333"/>
      <c r="AP2" s="333"/>
    </row>
    <row r="3" spans="1:45" s="334" customFormat="1">
      <c r="A3" s="335"/>
      <c r="B3" s="336" t="s">
        <v>253</v>
      </c>
      <c r="C3" s="336"/>
      <c r="D3" s="337"/>
      <c r="E3" s="338"/>
      <c r="F3" s="338"/>
      <c r="G3" s="336"/>
      <c r="H3" s="336"/>
      <c r="I3" s="336"/>
      <c r="J3" s="336"/>
      <c r="K3" s="336"/>
      <c r="L3" s="339"/>
      <c r="M3" s="339"/>
      <c r="N3" s="339"/>
      <c r="O3" s="339"/>
      <c r="P3" s="340"/>
      <c r="Q3" s="340"/>
      <c r="R3" s="340"/>
      <c r="S3" s="340"/>
      <c r="T3" s="341"/>
      <c r="U3" s="341"/>
      <c r="V3" s="341"/>
      <c r="W3" s="341"/>
      <c r="X3" s="339"/>
      <c r="Y3" s="339"/>
      <c r="Z3" s="339"/>
      <c r="AA3" s="339"/>
      <c r="AB3" s="339"/>
      <c r="AC3" s="339"/>
      <c r="AD3" s="339"/>
      <c r="AE3" s="342"/>
      <c r="AF3" s="346"/>
      <c r="AG3" s="346"/>
      <c r="AH3" s="346"/>
      <c r="AI3" s="347"/>
      <c r="AJ3" s="348"/>
      <c r="AK3" s="347"/>
      <c r="AL3" s="348"/>
      <c r="AM3" s="510"/>
      <c r="AN3" s="511"/>
      <c r="AO3" s="333"/>
      <c r="AP3" s="333"/>
    </row>
    <row r="4" spans="1:45" s="334" customFormat="1">
      <c r="A4" s="335"/>
      <c r="B4" s="1732" t="s">
        <v>256</v>
      </c>
      <c r="C4" s="1732"/>
      <c r="D4" s="1732"/>
      <c r="E4" s="1732"/>
      <c r="F4" s="1732"/>
      <c r="G4" s="1732"/>
      <c r="H4" s="1732"/>
      <c r="I4" s="1732"/>
      <c r="J4" s="1732"/>
      <c r="K4" s="1732"/>
      <c r="L4" s="1732"/>
      <c r="M4" s="1732"/>
      <c r="N4" s="1732"/>
      <c r="O4" s="1732"/>
      <c r="P4" s="1732"/>
      <c r="Q4" s="1732"/>
      <c r="R4" s="1732"/>
      <c r="S4" s="1732"/>
      <c r="T4" s="1732"/>
      <c r="U4" s="1732"/>
      <c r="V4" s="1732"/>
      <c r="W4" s="1732"/>
      <c r="X4" s="1732"/>
      <c r="Y4" s="1732"/>
      <c r="Z4" s="1732"/>
      <c r="AA4" s="1732"/>
      <c r="AB4" s="1732"/>
      <c r="AC4" s="1732"/>
      <c r="AD4" s="339"/>
      <c r="AE4" s="342"/>
      <c r="AF4" s="346"/>
      <c r="AG4" s="346"/>
      <c r="AH4" s="346"/>
      <c r="AI4" s="347"/>
      <c r="AJ4" s="348"/>
      <c r="AK4" s="347"/>
      <c r="AL4" s="348"/>
      <c r="AM4" s="510"/>
      <c r="AN4" s="511"/>
      <c r="AO4" s="333"/>
      <c r="AP4" s="333"/>
    </row>
    <row r="5" spans="1:45" s="334" customFormat="1">
      <c r="A5" s="335"/>
      <c r="B5" s="1732"/>
      <c r="C5" s="1732"/>
      <c r="D5" s="1732"/>
      <c r="E5" s="1732"/>
      <c r="F5" s="1732"/>
      <c r="G5" s="1732"/>
      <c r="H5" s="1732"/>
      <c r="I5" s="1732"/>
      <c r="J5" s="1732"/>
      <c r="K5" s="1732"/>
      <c r="L5" s="1732"/>
      <c r="M5" s="1732"/>
      <c r="N5" s="1732"/>
      <c r="O5" s="1732"/>
      <c r="P5" s="1732"/>
      <c r="Q5" s="1732"/>
      <c r="R5" s="1732"/>
      <c r="S5" s="1732"/>
      <c r="T5" s="1732"/>
      <c r="U5" s="1732"/>
      <c r="V5" s="1732"/>
      <c r="W5" s="1732"/>
      <c r="X5" s="1732"/>
      <c r="Y5" s="1732"/>
      <c r="Z5" s="1732"/>
      <c r="AA5" s="1732"/>
      <c r="AB5" s="1732"/>
      <c r="AC5" s="1732"/>
      <c r="AD5" s="339"/>
      <c r="AE5" s="342"/>
      <c r="AF5" s="346"/>
      <c r="AG5" s="346"/>
      <c r="AH5" s="346"/>
      <c r="AI5" s="347"/>
      <c r="AJ5" s="348"/>
      <c r="AK5" s="347"/>
      <c r="AL5" s="348"/>
      <c r="AM5" s="510"/>
      <c r="AN5" s="511"/>
      <c r="AO5" s="333"/>
      <c r="AP5" s="333"/>
    </row>
    <row r="6" spans="1:45" s="334" customFormat="1">
      <c r="A6" s="335"/>
      <c r="B6" s="336" t="s">
        <v>254</v>
      </c>
      <c r="C6" s="336"/>
      <c r="D6" s="337"/>
      <c r="E6" s="338"/>
      <c r="F6" s="338"/>
      <c r="G6" s="336"/>
      <c r="H6" s="336"/>
      <c r="I6" s="336"/>
      <c r="J6" s="336"/>
      <c r="K6" s="336"/>
      <c r="L6" s="339"/>
      <c r="M6" s="339"/>
      <c r="N6" s="339"/>
      <c r="O6" s="339"/>
      <c r="P6" s="340"/>
      <c r="Q6" s="340"/>
      <c r="R6" s="340"/>
      <c r="S6" s="340"/>
      <c r="T6" s="341"/>
      <c r="U6" s="341"/>
      <c r="V6" s="341"/>
      <c r="W6" s="341"/>
      <c r="X6" s="339"/>
      <c r="Y6" s="339"/>
      <c r="Z6" s="339"/>
      <c r="AA6" s="339"/>
      <c r="AB6" s="339"/>
      <c r="AC6" s="339"/>
      <c r="AD6" s="339"/>
      <c r="AE6" s="342"/>
      <c r="AF6" s="346"/>
      <c r="AG6" s="346"/>
      <c r="AH6" s="346"/>
      <c r="AI6" s="347"/>
      <c r="AJ6" s="348"/>
      <c r="AK6" s="347"/>
      <c r="AL6" s="348"/>
      <c r="AM6" s="510"/>
      <c r="AN6" s="511"/>
      <c r="AO6" s="333"/>
      <c r="AP6" s="333"/>
    </row>
    <row r="7" spans="1:45" s="334" customFormat="1">
      <c r="A7" s="335"/>
      <c r="B7" s="1732" t="s">
        <v>415</v>
      </c>
      <c r="C7" s="1732"/>
      <c r="D7" s="1732"/>
      <c r="E7" s="1732"/>
      <c r="F7" s="1732"/>
      <c r="G7" s="1732"/>
      <c r="H7" s="1732"/>
      <c r="I7" s="1732"/>
      <c r="J7" s="1732"/>
      <c r="K7" s="1732"/>
      <c r="L7" s="1732"/>
      <c r="M7" s="1732"/>
      <c r="N7" s="1732"/>
      <c r="O7" s="1732"/>
      <c r="P7" s="1732"/>
      <c r="Q7" s="1732"/>
      <c r="R7" s="1732"/>
      <c r="S7" s="1732"/>
      <c r="T7" s="1732"/>
      <c r="U7" s="1732"/>
      <c r="V7" s="1732"/>
      <c r="W7" s="1732"/>
      <c r="X7" s="1732"/>
      <c r="Y7" s="1732"/>
      <c r="Z7" s="1732"/>
      <c r="AA7" s="1732"/>
      <c r="AB7" s="1732"/>
      <c r="AC7" s="1732"/>
      <c r="AD7" s="339"/>
      <c r="AE7" s="342"/>
      <c r="AF7" s="346"/>
      <c r="AG7" s="346"/>
      <c r="AH7" s="346"/>
      <c r="AI7" s="347"/>
      <c r="AJ7" s="348"/>
      <c r="AK7" s="347"/>
      <c r="AL7" s="348"/>
      <c r="AM7" s="510"/>
      <c r="AN7" s="511"/>
      <c r="AO7" s="333"/>
      <c r="AP7" s="333"/>
    </row>
    <row r="8" spans="1:45" s="334" customFormat="1">
      <c r="A8" s="335"/>
      <c r="B8" s="1732"/>
      <c r="C8" s="1732"/>
      <c r="D8" s="1732"/>
      <c r="E8" s="1732"/>
      <c r="F8" s="1732"/>
      <c r="G8" s="1732"/>
      <c r="H8" s="1732"/>
      <c r="I8" s="1732"/>
      <c r="J8" s="1732"/>
      <c r="K8" s="1732"/>
      <c r="L8" s="1732"/>
      <c r="M8" s="1732"/>
      <c r="N8" s="1732"/>
      <c r="O8" s="1732"/>
      <c r="P8" s="1732"/>
      <c r="Q8" s="1732"/>
      <c r="R8" s="1732"/>
      <c r="S8" s="1732"/>
      <c r="T8" s="1732"/>
      <c r="U8" s="1732"/>
      <c r="V8" s="1732"/>
      <c r="W8" s="1732"/>
      <c r="X8" s="1732"/>
      <c r="Y8" s="1732"/>
      <c r="Z8" s="1732"/>
      <c r="AA8" s="1732"/>
      <c r="AB8" s="1732"/>
      <c r="AC8" s="1732"/>
      <c r="AD8" s="339"/>
      <c r="AE8" s="342"/>
      <c r="AF8" s="346"/>
      <c r="AG8" s="346"/>
      <c r="AH8" s="346"/>
      <c r="AI8" s="347"/>
      <c r="AJ8" s="348"/>
      <c r="AK8" s="347"/>
      <c r="AL8" s="348"/>
      <c r="AM8" s="510"/>
      <c r="AN8" s="511"/>
      <c r="AO8" s="333"/>
      <c r="AP8" s="333"/>
    </row>
    <row r="9" spans="1:45" ht="15.75" thickBot="1">
      <c r="A9" s="13"/>
      <c r="B9" s="2"/>
      <c r="C9" s="2"/>
      <c r="D9" s="104"/>
      <c r="E9" s="4"/>
      <c r="F9" s="4"/>
      <c r="G9" s="2"/>
      <c r="H9" s="2"/>
      <c r="I9" s="2"/>
      <c r="J9" s="2"/>
      <c r="K9" s="2"/>
      <c r="L9" s="60"/>
      <c r="M9" s="60"/>
      <c r="N9" s="60"/>
      <c r="O9" s="60"/>
      <c r="P9" s="58"/>
      <c r="Q9" s="58"/>
      <c r="R9" s="58"/>
      <c r="S9" s="58"/>
      <c r="T9" s="59"/>
      <c r="U9" s="59"/>
      <c r="V9" s="59"/>
      <c r="W9" s="59"/>
      <c r="X9" s="60"/>
      <c r="Y9" s="60"/>
      <c r="Z9" s="60"/>
      <c r="AA9" s="60"/>
      <c r="AB9" s="60"/>
      <c r="AC9" s="60"/>
      <c r="AD9" s="60"/>
      <c r="AE9" s="102"/>
      <c r="AF9" s="102"/>
      <c r="AG9" s="102"/>
      <c r="AH9" s="102"/>
      <c r="AI9" s="102"/>
      <c r="AJ9" s="102"/>
      <c r="AK9" s="182"/>
      <c r="AL9" s="90"/>
      <c r="AM9" s="182"/>
      <c r="AN9" s="90"/>
      <c r="AO9" s="182"/>
      <c r="AP9" s="59"/>
      <c r="AQ9" s="3"/>
      <c r="AR9" s="3"/>
      <c r="AS9" s="3"/>
    </row>
    <row r="10" spans="1:45">
      <c r="A10" s="221"/>
      <c r="B10" s="222" t="s">
        <v>241</v>
      </c>
      <c r="C10" s="223"/>
      <c r="D10" s="223"/>
      <c r="E10" s="224"/>
      <c r="F10" s="241"/>
      <c r="G10" s="223"/>
      <c r="H10" s="1733" t="s">
        <v>251</v>
      </c>
      <c r="I10" s="1734"/>
      <c r="J10" s="1734"/>
      <c r="K10" s="1734"/>
      <c r="L10" s="1734"/>
      <c r="M10" s="1734"/>
      <c r="N10" s="1734"/>
      <c r="O10" s="1735"/>
      <c r="P10" s="1736" t="s">
        <v>354</v>
      </c>
      <c r="Q10" s="1737"/>
      <c r="R10" s="1737"/>
      <c r="S10" s="1737"/>
      <c r="T10" s="1738"/>
      <c r="U10" s="1742" t="s">
        <v>352</v>
      </c>
      <c r="V10" s="1743"/>
      <c r="W10" s="1743"/>
      <c r="X10" s="1743"/>
      <c r="Y10" s="1743"/>
      <c r="Z10" s="1743"/>
      <c r="AA10" s="1743"/>
      <c r="AB10" s="1743"/>
      <c r="AC10" s="1744"/>
      <c r="AD10" s="1748" t="s">
        <v>250</v>
      </c>
      <c r="AE10" s="1749"/>
      <c r="AF10" s="1749"/>
      <c r="AG10" s="1749"/>
      <c r="AH10" s="1749"/>
      <c r="AI10" s="1749"/>
      <c r="AJ10" s="1749"/>
      <c r="AK10" s="1749"/>
      <c r="AL10" s="1749"/>
      <c r="AM10" s="1749"/>
      <c r="AN10" s="1750"/>
      <c r="AO10" s="89"/>
      <c r="AP10" s="3"/>
      <c r="AQ10" s="3"/>
      <c r="AR10" s="3"/>
    </row>
    <row r="11" spans="1:45" ht="15.75" thickBot="1">
      <c r="A11" s="221"/>
      <c r="B11" s="228" t="s">
        <v>226</v>
      </c>
      <c r="C11" s="229"/>
      <c r="D11" s="230" t="s">
        <v>227</v>
      </c>
      <c r="E11" s="225">
        <v>7</v>
      </c>
      <c r="F11" s="230" t="s">
        <v>229</v>
      </c>
      <c r="G11" s="343">
        <v>3</v>
      </c>
      <c r="H11" s="323" t="s">
        <v>23</v>
      </c>
      <c r="I11" s="1757" t="s">
        <v>29</v>
      </c>
      <c r="J11" s="1758"/>
      <c r="K11" s="1759"/>
      <c r="L11" s="1757" t="s">
        <v>14</v>
      </c>
      <c r="M11" s="1759"/>
      <c r="N11" s="1757" t="s">
        <v>11</v>
      </c>
      <c r="O11" s="1760"/>
      <c r="P11" s="1739"/>
      <c r="Q11" s="1740"/>
      <c r="R11" s="1740"/>
      <c r="S11" s="1740"/>
      <c r="T11" s="1741"/>
      <c r="U11" s="1745"/>
      <c r="V11" s="1746"/>
      <c r="W11" s="1746"/>
      <c r="X11" s="1746"/>
      <c r="Y11" s="1746"/>
      <c r="Z11" s="1746"/>
      <c r="AA11" s="1746"/>
      <c r="AB11" s="1746"/>
      <c r="AC11" s="1747"/>
      <c r="AD11" s="1751"/>
      <c r="AE11" s="1752"/>
      <c r="AF11" s="1752"/>
      <c r="AG11" s="1752"/>
      <c r="AH11" s="1752"/>
      <c r="AI11" s="1752"/>
      <c r="AJ11" s="1752"/>
      <c r="AK11" s="1752"/>
      <c r="AL11" s="1752"/>
      <c r="AM11" s="1752"/>
      <c r="AN11" s="1753"/>
      <c r="AO11" s="219"/>
      <c r="AP11" s="3"/>
      <c r="AQ11" s="3"/>
      <c r="AR11" s="3"/>
    </row>
    <row r="12" spans="1:45">
      <c r="A12" s="221"/>
      <c r="B12" s="223"/>
      <c r="C12" s="229"/>
      <c r="D12" s="230" t="s">
        <v>228</v>
      </c>
      <c r="E12" s="225">
        <v>7</v>
      </c>
      <c r="F12" s="230" t="s">
        <v>12</v>
      </c>
      <c r="G12" s="343">
        <v>2</v>
      </c>
      <c r="H12" s="323" t="s">
        <v>25</v>
      </c>
      <c r="I12" s="1757" t="s">
        <v>1</v>
      </c>
      <c r="J12" s="1758"/>
      <c r="K12" s="1759"/>
      <c r="L12" s="1757" t="s">
        <v>35</v>
      </c>
      <c r="M12" s="1759"/>
      <c r="N12" s="1757" t="s">
        <v>15</v>
      </c>
      <c r="O12" s="1760"/>
      <c r="P12" s="1736" t="s">
        <v>353</v>
      </c>
      <c r="Q12" s="1737"/>
      <c r="R12" s="1737"/>
      <c r="S12" s="1737"/>
      <c r="T12" s="1738"/>
      <c r="U12" s="1742" t="s">
        <v>359</v>
      </c>
      <c r="V12" s="1743"/>
      <c r="W12" s="1743"/>
      <c r="X12" s="1743"/>
      <c r="Y12" s="1743"/>
      <c r="Z12" s="1743"/>
      <c r="AA12" s="1743"/>
      <c r="AB12" s="1743"/>
      <c r="AC12" s="1744"/>
      <c r="AD12" s="1751"/>
      <c r="AE12" s="1752"/>
      <c r="AF12" s="1752"/>
      <c r="AG12" s="1752"/>
      <c r="AH12" s="1752"/>
      <c r="AI12" s="1752"/>
      <c r="AJ12" s="1752"/>
      <c r="AK12" s="1752"/>
      <c r="AL12" s="1752"/>
      <c r="AM12" s="1752"/>
      <c r="AN12" s="1753"/>
      <c r="AO12" s="89"/>
      <c r="AP12" s="3"/>
      <c r="AQ12" s="3"/>
      <c r="AR12" s="3"/>
    </row>
    <row r="13" spans="1:45" ht="15.75" thickBot="1">
      <c r="A13" s="221"/>
      <c r="B13" s="242"/>
      <c r="C13" s="221" t="s">
        <v>240</v>
      </c>
      <c r="D13" s="296" t="s">
        <v>242</v>
      </c>
      <c r="E13" s="227">
        <v>17</v>
      </c>
      <c r="F13" s="296" t="s">
        <v>243</v>
      </c>
      <c r="G13" s="344">
        <v>14</v>
      </c>
      <c r="H13" s="345" t="s">
        <v>27</v>
      </c>
      <c r="I13" s="1761" t="s">
        <v>13</v>
      </c>
      <c r="J13" s="1762"/>
      <c r="K13" s="1763"/>
      <c r="L13" s="1761" t="s">
        <v>10</v>
      </c>
      <c r="M13" s="1763"/>
      <c r="N13" s="1761"/>
      <c r="O13" s="1764"/>
      <c r="P13" s="1739"/>
      <c r="Q13" s="1740"/>
      <c r="R13" s="1740"/>
      <c r="S13" s="1740"/>
      <c r="T13" s="1741"/>
      <c r="U13" s="1745"/>
      <c r="V13" s="1746"/>
      <c r="W13" s="1746"/>
      <c r="X13" s="1746"/>
      <c r="Y13" s="1746"/>
      <c r="Z13" s="1746"/>
      <c r="AA13" s="1746"/>
      <c r="AB13" s="1746"/>
      <c r="AC13" s="1747"/>
      <c r="AD13" s="1754"/>
      <c r="AE13" s="1755"/>
      <c r="AF13" s="1755"/>
      <c r="AG13" s="1755"/>
      <c r="AH13" s="1755"/>
      <c r="AI13" s="1755"/>
      <c r="AJ13" s="1755"/>
      <c r="AK13" s="1755"/>
      <c r="AL13" s="1755"/>
      <c r="AM13" s="1755"/>
      <c r="AN13" s="1756"/>
      <c r="AO13" s="59"/>
      <c r="AP13" s="3"/>
      <c r="AQ13" s="3"/>
      <c r="AR13" s="3"/>
    </row>
    <row r="14" spans="1:45" ht="25.5">
      <c r="A14" s="1713" t="s">
        <v>105</v>
      </c>
      <c r="B14" s="1713"/>
      <c r="C14" s="1713"/>
      <c r="D14" s="1713"/>
      <c r="E14" s="1713"/>
      <c r="F14" s="1713"/>
      <c r="G14" s="1713"/>
      <c r="H14" s="1713"/>
      <c r="I14" s="1713"/>
      <c r="J14" s="1713"/>
      <c r="K14" s="1713"/>
      <c r="L14" s="1713"/>
      <c r="M14" s="1713"/>
      <c r="N14" s="1713"/>
      <c r="O14" s="1713"/>
      <c r="P14" s="1713"/>
      <c r="Q14" s="1713"/>
      <c r="R14" s="1713"/>
      <c r="S14" s="1713"/>
      <c r="T14" s="1713"/>
      <c r="U14" s="1713"/>
      <c r="V14" s="1713"/>
      <c r="W14" s="1713"/>
      <c r="X14" s="1713"/>
      <c r="Y14" s="1713"/>
      <c r="Z14" s="1713"/>
      <c r="AA14" s="1713"/>
      <c r="AB14" s="1713"/>
      <c r="AC14" s="1713"/>
      <c r="AD14" s="1713"/>
      <c r="AE14" s="1713"/>
      <c r="AF14" s="1713"/>
      <c r="AG14" s="1713"/>
      <c r="AH14" s="1713"/>
      <c r="AI14" s="1713"/>
      <c r="AJ14" s="1713"/>
      <c r="AK14" s="1713"/>
      <c r="AL14" s="1713"/>
      <c r="AM14" s="1713"/>
      <c r="AN14" s="1713"/>
      <c r="AO14" s="231"/>
      <c r="AP14" s="231"/>
      <c r="AQ14" s="3"/>
      <c r="AR14" s="3"/>
      <c r="AS14" s="3"/>
    </row>
    <row r="15" spans="1:45">
      <c r="A15" s="1"/>
      <c r="B15" s="2"/>
      <c r="C15" s="233"/>
      <c r="D15" s="234" t="s">
        <v>106</v>
      </c>
      <c r="E15" s="235" t="s">
        <v>357</v>
      </c>
      <c r="F15" s="235"/>
      <c r="G15" s="233"/>
      <c r="H15" s="233"/>
      <c r="I15" s="233"/>
      <c r="J15" s="233"/>
      <c r="K15" s="233"/>
      <c r="L15" s="236"/>
      <c r="M15" s="236"/>
      <c r="N15" s="236"/>
      <c r="O15" s="236"/>
      <c r="P15" s="236"/>
      <c r="Q15" s="236"/>
      <c r="R15" s="236"/>
      <c r="S15" s="236"/>
      <c r="T15" s="236"/>
      <c r="U15" s="236"/>
      <c r="V15" s="236"/>
      <c r="W15" s="236"/>
      <c r="X15" s="60"/>
      <c r="Y15" s="60"/>
      <c r="Z15" s="60"/>
      <c r="AA15" s="60"/>
      <c r="AH15" s="60"/>
      <c r="AJ15" s="60"/>
      <c r="AP15" s="59"/>
      <c r="AQ15" s="3"/>
      <c r="AR15" s="3"/>
      <c r="AS15" s="3"/>
    </row>
    <row r="16" spans="1:45">
      <c r="A16" s="1"/>
      <c r="B16" s="2"/>
      <c r="C16" s="233"/>
      <c r="D16" s="234" t="s">
        <v>107</v>
      </c>
      <c r="E16" s="237" t="s">
        <v>360</v>
      </c>
      <c r="F16" s="235"/>
      <c r="G16" s="233"/>
      <c r="H16" s="233"/>
      <c r="I16" s="233"/>
      <c r="J16" s="233"/>
      <c r="K16" s="233"/>
      <c r="L16" s="236"/>
      <c r="M16" s="236"/>
      <c r="N16" s="236"/>
      <c r="O16" s="236"/>
      <c r="P16" s="236"/>
      <c r="Q16" s="236"/>
      <c r="R16" s="236"/>
      <c r="S16" s="236"/>
      <c r="T16" s="236"/>
      <c r="U16" s="236"/>
      <c r="V16" s="236"/>
      <c r="W16" s="236"/>
      <c r="X16" s="60"/>
      <c r="Y16" s="60"/>
      <c r="Z16" s="60"/>
      <c r="AA16" s="60"/>
      <c r="AD16" s="192"/>
      <c r="AG16" s="60"/>
      <c r="AH16" s="125"/>
      <c r="AI16" s="60"/>
      <c r="AJ16" s="60"/>
      <c r="AP16" s="59"/>
      <c r="AQ16" s="3"/>
      <c r="AR16" s="3"/>
      <c r="AS16" s="3"/>
    </row>
    <row r="17" spans="1:45">
      <c r="A17" s="1"/>
      <c r="B17" s="85"/>
      <c r="C17" s="85"/>
      <c r="D17" s="85"/>
      <c r="E17" s="86" t="s">
        <v>108</v>
      </c>
      <c r="G17" s="238" t="s">
        <v>355</v>
      </c>
      <c r="H17" s="87"/>
      <c r="I17" s="87"/>
      <c r="J17" s="87"/>
      <c r="K17" s="87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239"/>
      <c r="AL17" s="240"/>
      <c r="AM17" s="240"/>
      <c r="AN17" s="240"/>
      <c r="AO17" s="318"/>
      <c r="AP17" s="89"/>
      <c r="AQ17" s="3"/>
      <c r="AR17" s="3"/>
      <c r="AS17" s="3"/>
    </row>
    <row r="18" spans="1:45" ht="15.75" thickBot="1">
      <c r="A18" s="1"/>
      <c r="B18" s="85"/>
      <c r="C18" s="85"/>
      <c r="D18" s="85"/>
      <c r="E18" s="86"/>
      <c r="G18" s="238"/>
      <c r="H18" s="85"/>
      <c r="I18" s="85"/>
      <c r="J18" s="85"/>
      <c r="K18" s="85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317"/>
      <c r="AL18" s="318"/>
      <c r="AM18" s="318"/>
      <c r="AN18" s="318"/>
      <c r="AO18" s="318"/>
      <c r="AP18" s="89"/>
      <c r="AQ18" s="3"/>
      <c r="AR18" s="3"/>
      <c r="AS18" s="3"/>
    </row>
    <row r="19" spans="1:45" ht="22.5" customHeight="1" thickBot="1">
      <c r="A19" s="1714" t="s">
        <v>0</v>
      </c>
      <c r="B19" s="1709" t="s">
        <v>82</v>
      </c>
      <c r="C19" s="1716" t="s">
        <v>9</v>
      </c>
      <c r="D19" s="1716"/>
      <c r="E19" s="1718" t="s">
        <v>230</v>
      </c>
      <c r="F19" s="1720" t="s">
        <v>6</v>
      </c>
      <c r="G19" s="1722" t="s">
        <v>83</v>
      </c>
      <c r="H19" s="1724" t="s">
        <v>7</v>
      </c>
      <c r="I19" s="1726" t="s">
        <v>225</v>
      </c>
      <c r="J19" s="1728" t="s">
        <v>109</v>
      </c>
      <c r="K19" s="1711" t="s">
        <v>1090</v>
      </c>
      <c r="L19" s="1712"/>
      <c r="M19" s="1730" t="s">
        <v>88</v>
      </c>
      <c r="N19" s="1731"/>
      <c r="P19" s="9" t="s">
        <v>18</v>
      </c>
      <c r="Q19" s="9" t="s">
        <v>53</v>
      </c>
      <c r="R19" s="10" t="s">
        <v>109</v>
      </c>
    </row>
    <row r="20" spans="1:45" ht="20.25" thickBot="1">
      <c r="A20" s="1715"/>
      <c r="B20" s="1710"/>
      <c r="C20" s="1717"/>
      <c r="D20" s="1717"/>
      <c r="E20" s="1719"/>
      <c r="F20" s="1721"/>
      <c r="G20" s="1723"/>
      <c r="H20" s="1725"/>
      <c r="I20" s="1727"/>
      <c r="J20" s="1729"/>
      <c r="K20" s="418" t="s">
        <v>534</v>
      </c>
      <c r="L20" s="413" t="s">
        <v>337</v>
      </c>
      <c r="M20" s="419" t="s">
        <v>535</v>
      </c>
      <c r="N20" s="420" t="s">
        <v>338</v>
      </c>
      <c r="O20" s="56"/>
      <c r="P20" s="10" t="e">
        <f>SUMIFS(#REF!,#REF!,$B20,#REF!,$D20,#REF!,$F20)</f>
        <v>#REF!</v>
      </c>
      <c r="Q20" s="29" t="e">
        <f>COUNTIFS(#REF!,$B20,#REF!,$D20,#REF!,$F20,#REF!,"&gt;=0")</f>
        <v>#REF!</v>
      </c>
      <c r="R20" s="10" t="e">
        <f>COUNTIFS(#REF!,$B20,#REF!,$D20,#REF!,$F20,#REF!,"лично")</f>
        <v>#REF!</v>
      </c>
      <c r="T20" s="12"/>
    </row>
    <row r="21" spans="1:45">
      <c r="A21" s="94">
        <v>1</v>
      </c>
      <c r="B21" s="257" t="s">
        <v>1</v>
      </c>
      <c r="C21" s="255" t="s">
        <v>161</v>
      </c>
      <c r="D21" s="95" t="s">
        <v>433</v>
      </c>
      <c r="E21" s="1052">
        <v>36335</v>
      </c>
      <c r="F21" s="258" t="str">
        <f t="shared" ref="F21:F70" si="0">$E$16</f>
        <v>Сокращенное название</v>
      </c>
      <c r="G21" s="259" t="s">
        <v>325</v>
      </c>
      <c r="H21" s="469" t="str">
        <f>E76</f>
        <v>Фамилия_1 Имя Отчество</v>
      </c>
      <c r="I21" s="260">
        <f t="shared" ref="I21:I52" si="1">COUNTIF(K21:L21,"&gt;=0")-COUNTIF(K21:L21,"в")-COUNTIF(K21:L21,"л")</f>
        <v>0</v>
      </c>
      <c r="J21" s="201">
        <f t="shared" ref="J21:J52" si="2">COUNTIF(K21:L21,"л")</f>
        <v>0</v>
      </c>
      <c r="K21" s="261"/>
      <c r="L21" s="264"/>
      <c r="M21" s="261"/>
      <c r="N21" s="188"/>
      <c r="O21" s="56"/>
      <c r="P21" s="10" t="e">
        <f>SUMIFS(#REF!,#REF!,$C21,#REF!,$E21,#REF!,$F21)</f>
        <v>#REF!</v>
      </c>
      <c r="Q21" s="29" t="e">
        <f>COUNTIFS(#REF!,$C21,#REF!,$E21,#REF!,$F21,#REF!,"&gt;=0")</f>
        <v>#REF!</v>
      </c>
      <c r="R21" s="10" t="e">
        <f>COUNTIFS(#REF!,$C21,#REF!,$E21,#REF!,$F21,#REF!,"лично")</f>
        <v>#REF!</v>
      </c>
      <c r="T21" s="257" t="s">
        <v>23</v>
      </c>
      <c r="U21" s="254"/>
    </row>
    <row r="22" spans="1:45">
      <c r="A22" s="94">
        <f t="shared" ref="A22:A70" si="3">A21+1</f>
        <v>2</v>
      </c>
      <c r="B22" s="257" t="s">
        <v>1</v>
      </c>
      <c r="C22" s="255" t="s">
        <v>161</v>
      </c>
      <c r="D22" s="95" t="s">
        <v>433</v>
      </c>
      <c r="E22" s="256"/>
      <c r="F22" s="258" t="str">
        <f t="shared" si="0"/>
        <v>Сокращенное название</v>
      </c>
      <c r="G22" s="259" t="s">
        <v>325</v>
      </c>
      <c r="H22" s="469" t="str">
        <f>H21</f>
        <v>Фамилия_1 Имя Отчество</v>
      </c>
      <c r="I22" s="260">
        <f t="shared" si="1"/>
        <v>0</v>
      </c>
      <c r="J22" s="201">
        <f t="shared" si="2"/>
        <v>0</v>
      </c>
      <c r="K22" s="261"/>
      <c r="L22" s="264"/>
      <c r="M22" s="261"/>
      <c r="N22" s="188"/>
      <c r="O22" s="56"/>
      <c r="P22" s="10" t="e">
        <f>SUMIFS(#REF!,#REF!,$C22,#REF!,$E22,#REF!,$F22)</f>
        <v>#REF!</v>
      </c>
      <c r="Q22" s="29" t="e">
        <f>COUNTIFS(#REF!,$C22,#REF!,$E22,#REF!,$F22,#REF!,"&gt;=0")</f>
        <v>#REF!</v>
      </c>
      <c r="R22" s="10" t="e">
        <f>COUNTIFS(#REF!,$C22,#REF!,$E22,#REF!,$F22,#REF!,"лично")</f>
        <v>#REF!</v>
      </c>
      <c r="T22" s="257" t="s">
        <v>25</v>
      </c>
      <c r="U22" s="254"/>
    </row>
    <row r="23" spans="1:45">
      <c r="A23" s="94">
        <f t="shared" si="3"/>
        <v>3</v>
      </c>
      <c r="B23" s="257" t="s">
        <v>23</v>
      </c>
      <c r="C23" s="255" t="s">
        <v>161</v>
      </c>
      <c r="D23" s="95" t="s">
        <v>433</v>
      </c>
      <c r="E23" s="256"/>
      <c r="F23" s="258" t="str">
        <f t="shared" si="0"/>
        <v>Сокращенное название</v>
      </c>
      <c r="G23" s="259" t="s">
        <v>325</v>
      </c>
      <c r="H23" s="469" t="str">
        <f t="shared" ref="H23:H70" si="4">H22</f>
        <v>Фамилия_1 Имя Отчество</v>
      </c>
      <c r="I23" s="260">
        <f t="shared" si="1"/>
        <v>0</v>
      </c>
      <c r="J23" s="201">
        <f t="shared" si="2"/>
        <v>0</v>
      </c>
      <c r="K23" s="261"/>
      <c r="L23" s="264"/>
      <c r="M23" s="261"/>
      <c r="N23" s="188"/>
      <c r="O23" s="56"/>
      <c r="P23" s="10" t="e">
        <f>SUMIFS(#REF!,#REF!,$C23,#REF!,$E23,#REF!,$F23)</f>
        <v>#REF!</v>
      </c>
      <c r="Q23" s="29" t="e">
        <f>COUNTIFS(#REF!,$C23,#REF!,$E23,#REF!,$F23,#REF!,"&gt;=0")</f>
        <v>#REF!</v>
      </c>
      <c r="R23" s="10" t="e">
        <f>COUNTIFS(#REF!,$C23,#REF!,$E23,#REF!,$F23,#REF!,"лично")</f>
        <v>#REF!</v>
      </c>
      <c r="T23" s="257" t="s">
        <v>27</v>
      </c>
      <c r="U23" s="254"/>
    </row>
    <row r="24" spans="1:45">
      <c r="A24" s="94">
        <f t="shared" si="3"/>
        <v>4</v>
      </c>
      <c r="B24" s="257" t="s">
        <v>25</v>
      </c>
      <c r="C24" s="255" t="s">
        <v>161</v>
      </c>
      <c r="D24" s="95" t="s">
        <v>433</v>
      </c>
      <c r="E24" s="256"/>
      <c r="F24" s="258" t="str">
        <f t="shared" si="0"/>
        <v>Сокращенное название</v>
      </c>
      <c r="G24" s="259" t="s">
        <v>325</v>
      </c>
      <c r="H24" s="469" t="str">
        <f t="shared" si="4"/>
        <v>Фамилия_1 Имя Отчество</v>
      </c>
      <c r="I24" s="260">
        <f t="shared" si="1"/>
        <v>0</v>
      </c>
      <c r="J24" s="201">
        <f t="shared" si="2"/>
        <v>0</v>
      </c>
      <c r="K24" s="261"/>
      <c r="L24" s="264"/>
      <c r="M24" s="261"/>
      <c r="N24" s="188"/>
      <c r="O24" s="56"/>
      <c r="P24" s="10" t="e">
        <f>SUMIFS(#REF!,#REF!,$C24,#REF!,$E24,#REF!,$F24)</f>
        <v>#REF!</v>
      </c>
      <c r="Q24" s="29" t="e">
        <f>COUNTIFS(#REF!,$C24,#REF!,$E24,#REF!,$F24,#REF!,"&gt;=0")</f>
        <v>#REF!</v>
      </c>
      <c r="R24" s="10" t="e">
        <f>COUNTIFS(#REF!,$C24,#REF!,$E24,#REF!,$F24,#REF!,"лично")</f>
        <v>#REF!</v>
      </c>
      <c r="T24" s="257" t="s">
        <v>29</v>
      </c>
      <c r="U24" s="254"/>
    </row>
    <row r="25" spans="1:45">
      <c r="A25" s="94">
        <f t="shared" si="3"/>
        <v>5</v>
      </c>
      <c r="B25" s="257" t="s">
        <v>27</v>
      </c>
      <c r="C25" s="255" t="s">
        <v>161</v>
      </c>
      <c r="D25" s="95" t="s">
        <v>433</v>
      </c>
      <c r="E25" s="256"/>
      <c r="F25" s="258" t="str">
        <f t="shared" si="0"/>
        <v>Сокращенное название</v>
      </c>
      <c r="G25" s="259" t="s">
        <v>325</v>
      </c>
      <c r="H25" s="469" t="str">
        <f t="shared" si="4"/>
        <v>Фамилия_1 Имя Отчество</v>
      </c>
      <c r="I25" s="260">
        <f t="shared" si="1"/>
        <v>0</v>
      </c>
      <c r="J25" s="201">
        <f t="shared" si="2"/>
        <v>0</v>
      </c>
      <c r="K25" s="261"/>
      <c r="L25" s="264"/>
      <c r="M25" s="261"/>
      <c r="N25" s="188"/>
      <c r="O25" s="56"/>
      <c r="P25" s="10" t="e">
        <f>SUMIFS(#REF!,#REF!,$C25,#REF!,$E25,#REF!,$F25)</f>
        <v>#REF!</v>
      </c>
      <c r="Q25" s="29" t="e">
        <f>COUNTIFS(#REF!,$C25,#REF!,$E25,#REF!,$F25,#REF!,"&gt;=0")</f>
        <v>#REF!</v>
      </c>
      <c r="R25" s="10" t="e">
        <f>COUNTIFS(#REF!,$C25,#REF!,$E25,#REF!,$F25,#REF!,"лично")</f>
        <v>#REF!</v>
      </c>
      <c r="T25" s="257" t="s">
        <v>1</v>
      </c>
      <c r="U25" s="254"/>
    </row>
    <row r="26" spans="1:45">
      <c r="A26" s="94">
        <f t="shared" si="3"/>
        <v>6</v>
      </c>
      <c r="B26" s="257" t="s">
        <v>29</v>
      </c>
      <c r="C26" s="255" t="s">
        <v>161</v>
      </c>
      <c r="D26" s="95" t="s">
        <v>433</v>
      </c>
      <c r="E26" s="256"/>
      <c r="F26" s="258" t="str">
        <f t="shared" si="0"/>
        <v>Сокращенное название</v>
      </c>
      <c r="G26" s="259" t="s">
        <v>325</v>
      </c>
      <c r="H26" s="469" t="str">
        <f t="shared" si="4"/>
        <v>Фамилия_1 Имя Отчество</v>
      </c>
      <c r="I26" s="260">
        <f t="shared" si="1"/>
        <v>0</v>
      </c>
      <c r="J26" s="201">
        <f t="shared" si="2"/>
        <v>0</v>
      </c>
      <c r="K26" s="261"/>
      <c r="L26" s="264"/>
      <c r="M26" s="261"/>
      <c r="N26" s="188"/>
      <c r="O26" s="56"/>
      <c r="P26" s="10" t="e">
        <f>SUMIFS(#REF!,#REF!,$C26,#REF!,$E26,#REF!,$F26)</f>
        <v>#REF!</v>
      </c>
      <c r="Q26" s="29" t="e">
        <f>COUNTIFS(#REF!,$C26,#REF!,$E26,#REF!,$F26,#REF!,"&gt;=0")</f>
        <v>#REF!</v>
      </c>
      <c r="R26" s="10" t="e">
        <f>COUNTIFS(#REF!,$C26,#REF!,$E26,#REF!,$F26,#REF!,"лично")</f>
        <v>#REF!</v>
      </c>
      <c r="T26" s="257" t="s">
        <v>13</v>
      </c>
      <c r="U26" s="254"/>
    </row>
    <row r="27" spans="1:45">
      <c r="A27" s="94">
        <f t="shared" si="3"/>
        <v>7</v>
      </c>
      <c r="B27" s="257" t="s">
        <v>1</v>
      </c>
      <c r="C27" s="255" t="s">
        <v>161</v>
      </c>
      <c r="D27" s="95" t="s">
        <v>433</v>
      </c>
      <c r="E27" s="256"/>
      <c r="F27" s="258" t="str">
        <f t="shared" si="0"/>
        <v>Сокращенное название</v>
      </c>
      <c r="G27" s="259" t="s">
        <v>325</v>
      </c>
      <c r="H27" s="469" t="str">
        <f t="shared" si="4"/>
        <v>Фамилия_1 Имя Отчество</v>
      </c>
      <c r="I27" s="260">
        <f t="shared" si="1"/>
        <v>0</v>
      </c>
      <c r="J27" s="201">
        <f t="shared" si="2"/>
        <v>0</v>
      </c>
      <c r="K27" s="261"/>
      <c r="L27" s="264"/>
      <c r="M27" s="261"/>
      <c r="N27" s="188"/>
      <c r="O27" s="56"/>
      <c r="P27" s="10" t="e">
        <f>SUMIFS(#REF!,#REF!,$C27,#REF!,$E27,#REF!,$F27)</f>
        <v>#REF!</v>
      </c>
      <c r="Q27" s="29" t="e">
        <f>COUNTIFS(#REF!,$C27,#REF!,$E27,#REF!,$F27,#REF!,"&gt;=0")</f>
        <v>#REF!</v>
      </c>
      <c r="R27" s="10" t="e">
        <f>COUNTIFS(#REF!,$C27,#REF!,$E27,#REF!,$F27,#REF!,"лично")</f>
        <v>#REF!</v>
      </c>
      <c r="T27" s="257" t="s">
        <v>14</v>
      </c>
      <c r="U27" s="254"/>
    </row>
    <row r="28" spans="1:45">
      <c r="A28" s="94">
        <f t="shared" si="3"/>
        <v>8</v>
      </c>
      <c r="B28" s="257" t="s">
        <v>1</v>
      </c>
      <c r="C28" s="255" t="s">
        <v>161</v>
      </c>
      <c r="D28" s="95" t="s">
        <v>433</v>
      </c>
      <c r="E28" s="256"/>
      <c r="F28" s="258" t="str">
        <f t="shared" si="0"/>
        <v>Сокращенное название</v>
      </c>
      <c r="G28" s="259" t="s">
        <v>325</v>
      </c>
      <c r="H28" s="469" t="str">
        <f t="shared" si="4"/>
        <v>Фамилия_1 Имя Отчество</v>
      </c>
      <c r="I28" s="260">
        <f t="shared" si="1"/>
        <v>0</v>
      </c>
      <c r="J28" s="201">
        <f t="shared" si="2"/>
        <v>0</v>
      </c>
      <c r="K28" s="261"/>
      <c r="L28" s="264"/>
      <c r="M28" s="261"/>
      <c r="N28" s="188"/>
      <c r="O28" s="56"/>
      <c r="P28" s="10" t="e">
        <f>SUMIFS(#REF!,#REF!,$C28,#REF!,$E28,#REF!,$F28)</f>
        <v>#REF!</v>
      </c>
      <c r="Q28" s="29" t="e">
        <f>COUNTIFS(#REF!,$C28,#REF!,$E28,#REF!,$F28,#REF!,"&gt;=0")</f>
        <v>#REF!</v>
      </c>
      <c r="R28" s="10" t="e">
        <f>COUNTIFS(#REF!,$C28,#REF!,$E28,#REF!,$F28,#REF!,"лично")</f>
        <v>#REF!</v>
      </c>
      <c r="T28" s="66" t="s">
        <v>35</v>
      </c>
      <c r="U28" s="254"/>
    </row>
    <row r="29" spans="1:45">
      <c r="A29" s="94">
        <f t="shared" si="3"/>
        <v>9</v>
      </c>
      <c r="B29" s="257" t="s">
        <v>14</v>
      </c>
      <c r="C29" s="255" t="s">
        <v>161</v>
      </c>
      <c r="D29" s="95" t="s">
        <v>433</v>
      </c>
      <c r="E29" s="256"/>
      <c r="F29" s="258" t="str">
        <f t="shared" si="0"/>
        <v>Сокращенное название</v>
      </c>
      <c r="G29" s="259" t="s">
        <v>325</v>
      </c>
      <c r="H29" s="469" t="str">
        <f t="shared" si="4"/>
        <v>Фамилия_1 Имя Отчество</v>
      </c>
      <c r="I29" s="260">
        <f t="shared" si="1"/>
        <v>0</v>
      </c>
      <c r="J29" s="201">
        <f t="shared" si="2"/>
        <v>0</v>
      </c>
      <c r="K29" s="261"/>
      <c r="L29" s="264"/>
      <c r="M29" s="261"/>
      <c r="N29" s="188"/>
      <c r="O29" s="56"/>
      <c r="P29" s="10" t="e">
        <f>SUMIFS(#REF!,#REF!,$C29,#REF!,$E29,#REF!,$F29)</f>
        <v>#REF!</v>
      </c>
      <c r="Q29" s="29" t="e">
        <f>COUNTIFS(#REF!,$C29,#REF!,$E29,#REF!,$F29,#REF!,"&gt;=0")</f>
        <v>#REF!</v>
      </c>
      <c r="R29" s="10" t="e">
        <f>COUNTIFS(#REF!,$C29,#REF!,$E29,#REF!,$F29,#REF!,"лично")</f>
        <v>#REF!</v>
      </c>
      <c r="T29" s="66" t="s">
        <v>10</v>
      </c>
      <c r="U29" s="254"/>
    </row>
    <row r="30" spans="1:45">
      <c r="A30" s="94">
        <f t="shared" si="3"/>
        <v>10</v>
      </c>
      <c r="B30" s="257" t="s">
        <v>1</v>
      </c>
      <c r="C30" s="255" t="s">
        <v>161</v>
      </c>
      <c r="D30" s="95" t="s">
        <v>433</v>
      </c>
      <c r="E30" s="256"/>
      <c r="F30" s="258" t="str">
        <f t="shared" si="0"/>
        <v>Сокращенное название</v>
      </c>
      <c r="G30" s="259" t="s">
        <v>325</v>
      </c>
      <c r="H30" s="469" t="str">
        <f t="shared" si="4"/>
        <v>Фамилия_1 Имя Отчество</v>
      </c>
      <c r="I30" s="260">
        <f t="shared" si="1"/>
        <v>0</v>
      </c>
      <c r="J30" s="201">
        <f t="shared" si="2"/>
        <v>0</v>
      </c>
      <c r="K30" s="261"/>
      <c r="L30" s="264"/>
      <c r="M30" s="261"/>
      <c r="N30" s="188"/>
      <c r="O30" s="56"/>
      <c r="P30" s="10" t="e">
        <f>SUMIFS(#REF!,#REF!,$C30,#REF!,$E30,#REF!,$F30)</f>
        <v>#REF!</v>
      </c>
      <c r="Q30" s="29" t="e">
        <f>COUNTIFS(#REF!,$C30,#REF!,$E30,#REF!,$F30,#REF!,"&gt;=0")</f>
        <v>#REF!</v>
      </c>
      <c r="R30" s="10" t="e">
        <f>COUNTIFS(#REF!,$C30,#REF!,$E30,#REF!,$F30,#REF!,"лично")</f>
        <v>#REF!</v>
      </c>
      <c r="T30" s="66" t="s">
        <v>11</v>
      </c>
      <c r="U30" s="254"/>
    </row>
    <row r="31" spans="1:45">
      <c r="A31" s="94">
        <f t="shared" si="3"/>
        <v>11</v>
      </c>
      <c r="B31" s="66" t="s">
        <v>35</v>
      </c>
      <c r="C31" s="255" t="s">
        <v>161</v>
      </c>
      <c r="D31" s="95" t="s">
        <v>433</v>
      </c>
      <c r="E31" s="256"/>
      <c r="F31" s="258" t="str">
        <f t="shared" si="0"/>
        <v>Сокращенное название</v>
      </c>
      <c r="G31" s="259" t="s">
        <v>325</v>
      </c>
      <c r="H31" s="469" t="str">
        <f t="shared" si="4"/>
        <v>Фамилия_1 Имя Отчество</v>
      </c>
      <c r="I31" s="260">
        <f t="shared" si="1"/>
        <v>0</v>
      </c>
      <c r="J31" s="201">
        <f t="shared" si="2"/>
        <v>0</v>
      </c>
      <c r="K31" s="261"/>
      <c r="L31" s="264"/>
      <c r="M31" s="261"/>
      <c r="N31" s="188"/>
      <c r="O31" s="56"/>
      <c r="P31" s="10" t="e">
        <f>SUMIFS(#REF!,#REF!,$C31,#REF!,$E31,#REF!,$F31)</f>
        <v>#REF!</v>
      </c>
      <c r="Q31" s="29" t="e">
        <f>COUNTIFS(#REF!,$C31,#REF!,$E31,#REF!,$F31,#REF!,"&gt;=0")</f>
        <v>#REF!</v>
      </c>
      <c r="R31" s="10" t="e">
        <f>COUNTIFS(#REF!,$C31,#REF!,$E31,#REF!,$F31,#REF!,"лично")</f>
        <v>#REF!</v>
      </c>
      <c r="T31" s="362" t="s">
        <v>15</v>
      </c>
      <c r="U31" s="254"/>
    </row>
    <row r="32" spans="1:45">
      <c r="A32" s="94">
        <f t="shared" si="3"/>
        <v>12</v>
      </c>
      <c r="B32" s="257" t="s">
        <v>29</v>
      </c>
      <c r="C32" s="255" t="s">
        <v>161</v>
      </c>
      <c r="D32" s="95" t="s">
        <v>433</v>
      </c>
      <c r="E32" s="256"/>
      <c r="F32" s="258" t="str">
        <f t="shared" si="0"/>
        <v>Сокращенное название</v>
      </c>
      <c r="G32" s="259" t="s">
        <v>325</v>
      </c>
      <c r="H32" s="469" t="str">
        <f t="shared" si="4"/>
        <v>Фамилия_1 Имя Отчество</v>
      </c>
      <c r="I32" s="260">
        <f t="shared" si="1"/>
        <v>0</v>
      </c>
      <c r="J32" s="201">
        <f t="shared" si="2"/>
        <v>0</v>
      </c>
      <c r="K32" s="261"/>
      <c r="L32" s="264"/>
      <c r="M32" s="261"/>
      <c r="N32" s="188"/>
      <c r="O32" s="56"/>
      <c r="P32" s="10" t="e">
        <f>SUMIFS(#REF!,#REF!,$C32,#REF!,$E32,#REF!,$F32)</f>
        <v>#REF!</v>
      </c>
      <c r="Q32" s="29" t="e">
        <f>COUNTIFS(#REF!,$C32,#REF!,$E32,#REF!,$F32,#REF!,"&gt;=0")</f>
        <v>#REF!</v>
      </c>
      <c r="R32" s="10" t="e">
        <f>COUNTIFS(#REF!,$C32,#REF!,$E32,#REF!,$F32,#REF!,"лично")</f>
        <v>#REF!</v>
      </c>
      <c r="T32" s="12"/>
      <c r="U32" s="254"/>
    </row>
    <row r="33" spans="1:21">
      <c r="A33" s="94">
        <f t="shared" si="3"/>
        <v>13</v>
      </c>
      <c r="B33" s="257" t="s">
        <v>1</v>
      </c>
      <c r="C33" s="255" t="s">
        <v>161</v>
      </c>
      <c r="D33" s="95" t="s">
        <v>433</v>
      </c>
      <c r="E33" s="256"/>
      <c r="F33" s="258" t="str">
        <f t="shared" si="0"/>
        <v>Сокращенное название</v>
      </c>
      <c r="G33" s="259" t="s">
        <v>325</v>
      </c>
      <c r="H33" s="469" t="str">
        <f t="shared" si="4"/>
        <v>Фамилия_1 Имя Отчество</v>
      </c>
      <c r="I33" s="260">
        <f t="shared" si="1"/>
        <v>0</v>
      </c>
      <c r="J33" s="201">
        <f t="shared" si="2"/>
        <v>0</v>
      </c>
      <c r="K33" s="261"/>
      <c r="L33" s="264"/>
      <c r="M33" s="261"/>
      <c r="N33" s="188"/>
      <c r="O33" s="56"/>
      <c r="P33" s="10" t="e">
        <f>SUMIFS(#REF!,#REF!,$C33,#REF!,$E33,#REF!,$F33)</f>
        <v>#REF!</v>
      </c>
      <c r="Q33" s="29" t="e">
        <f>COUNTIFS(#REF!,$C33,#REF!,$E33,#REF!,$F33,#REF!,"&gt;=0")</f>
        <v>#REF!</v>
      </c>
      <c r="R33" s="10" t="e">
        <f>COUNTIFS(#REF!,$C33,#REF!,$E33,#REF!,$F33,#REF!,"лично")</f>
        <v>#REF!</v>
      </c>
      <c r="T33" s="12"/>
      <c r="U33" s="254"/>
    </row>
    <row r="34" spans="1:21">
      <c r="A34" s="94">
        <f t="shared" si="3"/>
        <v>14</v>
      </c>
      <c r="B34" s="257" t="s">
        <v>1</v>
      </c>
      <c r="C34" s="255" t="s">
        <v>161</v>
      </c>
      <c r="D34" s="95" t="s">
        <v>433</v>
      </c>
      <c r="E34" s="256"/>
      <c r="F34" s="258" t="str">
        <f t="shared" si="0"/>
        <v>Сокращенное название</v>
      </c>
      <c r="G34" s="259" t="s">
        <v>325</v>
      </c>
      <c r="H34" s="469" t="str">
        <f t="shared" si="4"/>
        <v>Фамилия_1 Имя Отчество</v>
      </c>
      <c r="I34" s="260">
        <f t="shared" si="1"/>
        <v>0</v>
      </c>
      <c r="J34" s="201">
        <f t="shared" si="2"/>
        <v>0</v>
      </c>
      <c r="K34" s="261"/>
      <c r="L34" s="264"/>
      <c r="M34" s="261"/>
      <c r="N34" s="188"/>
      <c r="O34" s="56"/>
      <c r="P34" s="10" t="e">
        <f>SUMIFS(#REF!,#REF!,$C34,#REF!,$E34,#REF!,$F34)</f>
        <v>#REF!</v>
      </c>
      <c r="Q34" s="29" t="e">
        <f>COUNTIFS(#REF!,$C34,#REF!,$E34,#REF!,$F34,#REF!,"&gt;=0")</f>
        <v>#REF!</v>
      </c>
      <c r="R34" s="10" t="e">
        <f>COUNTIFS(#REF!,$C34,#REF!,$E34,#REF!,$F34,#REF!,"лично")</f>
        <v>#REF!</v>
      </c>
      <c r="T34" s="12"/>
      <c r="U34" s="254"/>
    </row>
    <row r="35" spans="1:21">
      <c r="A35" s="94">
        <f t="shared" si="3"/>
        <v>15</v>
      </c>
      <c r="B35" s="257" t="s">
        <v>1</v>
      </c>
      <c r="C35" s="255" t="s">
        <v>161</v>
      </c>
      <c r="D35" s="95" t="s">
        <v>433</v>
      </c>
      <c r="E35" s="256"/>
      <c r="F35" s="258" t="str">
        <f t="shared" si="0"/>
        <v>Сокращенное название</v>
      </c>
      <c r="G35" s="259" t="s">
        <v>325</v>
      </c>
      <c r="H35" s="469" t="str">
        <f t="shared" si="4"/>
        <v>Фамилия_1 Имя Отчество</v>
      </c>
      <c r="I35" s="260">
        <f t="shared" si="1"/>
        <v>0</v>
      </c>
      <c r="J35" s="201">
        <f t="shared" si="2"/>
        <v>0</v>
      </c>
      <c r="K35" s="261"/>
      <c r="L35" s="264"/>
      <c r="M35" s="261"/>
      <c r="N35" s="188"/>
      <c r="O35" s="56"/>
      <c r="P35" s="10" t="e">
        <f>SUMIFS(#REF!,#REF!,$C35,#REF!,$E35,#REF!,$F35)</f>
        <v>#REF!</v>
      </c>
      <c r="Q35" s="29" t="e">
        <f>COUNTIFS(#REF!,$C35,#REF!,$E35,#REF!,$F35,#REF!,"&gt;=0")</f>
        <v>#REF!</v>
      </c>
      <c r="R35" s="10" t="e">
        <f>COUNTIFS(#REF!,$C35,#REF!,$E35,#REF!,$F35,#REF!,"лично")</f>
        <v>#REF!</v>
      </c>
      <c r="T35" s="12"/>
      <c r="U35" s="254"/>
    </row>
    <row r="36" spans="1:21">
      <c r="A36" s="94">
        <f t="shared" si="3"/>
        <v>16</v>
      </c>
      <c r="B36" s="257" t="s">
        <v>1</v>
      </c>
      <c r="C36" s="255" t="s">
        <v>161</v>
      </c>
      <c r="D36" s="95" t="s">
        <v>433</v>
      </c>
      <c r="E36" s="256"/>
      <c r="F36" s="258" t="str">
        <f t="shared" si="0"/>
        <v>Сокращенное название</v>
      </c>
      <c r="G36" s="259" t="s">
        <v>325</v>
      </c>
      <c r="H36" s="469" t="str">
        <f t="shared" si="4"/>
        <v>Фамилия_1 Имя Отчество</v>
      </c>
      <c r="I36" s="260">
        <f t="shared" si="1"/>
        <v>0</v>
      </c>
      <c r="J36" s="201">
        <f t="shared" si="2"/>
        <v>0</v>
      </c>
      <c r="K36" s="261"/>
      <c r="L36" s="264"/>
      <c r="M36" s="261"/>
      <c r="N36" s="188"/>
      <c r="O36" s="56"/>
      <c r="P36" s="10" t="e">
        <f>SUMIFS(#REF!,#REF!,$C36,#REF!,$E36,#REF!,$F36)</f>
        <v>#REF!</v>
      </c>
      <c r="Q36" s="29" t="e">
        <f>COUNTIFS(#REF!,$C36,#REF!,$E36,#REF!,$F36,#REF!,"&gt;=0")</f>
        <v>#REF!</v>
      </c>
      <c r="R36" s="10" t="e">
        <f>COUNTIFS(#REF!,$C36,#REF!,$E36,#REF!,$F36,#REF!,"лично")</f>
        <v>#REF!</v>
      </c>
      <c r="T36" s="12"/>
      <c r="U36" s="254"/>
    </row>
    <row r="37" spans="1:21">
      <c r="A37" s="94">
        <f t="shared" si="3"/>
        <v>17</v>
      </c>
      <c r="B37" s="66" t="s">
        <v>35</v>
      </c>
      <c r="C37" s="255" t="s">
        <v>161</v>
      </c>
      <c r="D37" s="95" t="s">
        <v>433</v>
      </c>
      <c r="E37" s="256"/>
      <c r="F37" s="258" t="str">
        <f t="shared" si="0"/>
        <v>Сокращенное название</v>
      </c>
      <c r="G37" s="259" t="s">
        <v>325</v>
      </c>
      <c r="H37" s="469" t="str">
        <f t="shared" si="4"/>
        <v>Фамилия_1 Имя Отчество</v>
      </c>
      <c r="I37" s="260">
        <f t="shared" si="1"/>
        <v>0</v>
      </c>
      <c r="J37" s="201">
        <f t="shared" si="2"/>
        <v>0</v>
      </c>
      <c r="K37" s="261"/>
      <c r="L37" s="264"/>
      <c r="M37" s="261"/>
      <c r="N37" s="188"/>
      <c r="O37" s="56"/>
      <c r="P37" s="10" t="e">
        <f>SUMIFS(#REF!,#REF!,$C37,#REF!,$E37,#REF!,$F37)</f>
        <v>#REF!</v>
      </c>
      <c r="Q37" s="29" t="e">
        <f>COUNTIFS(#REF!,$C37,#REF!,$E37,#REF!,$F37,#REF!,"&gt;=0")</f>
        <v>#REF!</v>
      </c>
      <c r="R37" s="10" t="e">
        <f>COUNTIFS(#REF!,$C37,#REF!,$E37,#REF!,$F37,#REF!,"лично")</f>
        <v>#REF!</v>
      </c>
      <c r="T37" s="12"/>
      <c r="U37" s="254"/>
    </row>
    <row r="38" spans="1:21">
      <c r="A38" s="94">
        <f t="shared" si="3"/>
        <v>18</v>
      </c>
      <c r="B38" s="66" t="s">
        <v>10</v>
      </c>
      <c r="C38" s="255" t="s">
        <v>161</v>
      </c>
      <c r="D38" s="95" t="s">
        <v>433</v>
      </c>
      <c r="E38" s="256"/>
      <c r="F38" s="258" t="str">
        <f t="shared" si="0"/>
        <v>Сокращенное название</v>
      </c>
      <c r="G38" s="259" t="s">
        <v>325</v>
      </c>
      <c r="H38" s="469" t="str">
        <f t="shared" si="4"/>
        <v>Фамилия_1 Имя Отчество</v>
      </c>
      <c r="I38" s="260">
        <f t="shared" si="1"/>
        <v>0</v>
      </c>
      <c r="J38" s="201">
        <f t="shared" si="2"/>
        <v>0</v>
      </c>
      <c r="K38" s="261"/>
      <c r="L38" s="264"/>
      <c r="M38" s="261"/>
      <c r="N38" s="188"/>
      <c r="O38" s="56"/>
      <c r="P38" s="10" t="e">
        <f>SUMIFS(#REF!,#REF!,$C38,#REF!,$E38,#REF!,$F38)</f>
        <v>#REF!</v>
      </c>
      <c r="Q38" s="29" t="e">
        <f>COUNTIFS(#REF!,$C38,#REF!,$E38,#REF!,$F38,#REF!,"&gt;=0")</f>
        <v>#REF!</v>
      </c>
      <c r="R38" s="10" t="e">
        <f>COUNTIFS(#REF!,$C38,#REF!,$E38,#REF!,$F38,#REF!,"лично")</f>
        <v>#REF!</v>
      </c>
      <c r="T38" s="12"/>
      <c r="U38" s="254"/>
    </row>
    <row r="39" spans="1:21">
      <c r="A39" s="94">
        <f t="shared" si="3"/>
        <v>19</v>
      </c>
      <c r="B39" s="66" t="s">
        <v>11</v>
      </c>
      <c r="C39" s="255" t="s">
        <v>161</v>
      </c>
      <c r="D39" s="95" t="s">
        <v>433</v>
      </c>
      <c r="E39" s="256"/>
      <c r="F39" s="258" t="str">
        <f t="shared" si="0"/>
        <v>Сокращенное название</v>
      </c>
      <c r="G39" s="259" t="s">
        <v>325</v>
      </c>
      <c r="H39" s="469" t="str">
        <f t="shared" si="4"/>
        <v>Фамилия_1 Имя Отчество</v>
      </c>
      <c r="I39" s="260">
        <f t="shared" si="1"/>
        <v>0</v>
      </c>
      <c r="J39" s="201">
        <f t="shared" si="2"/>
        <v>0</v>
      </c>
      <c r="K39" s="261"/>
      <c r="L39" s="264"/>
      <c r="M39" s="261"/>
      <c r="N39" s="188"/>
      <c r="O39" s="56"/>
      <c r="P39" s="10" t="e">
        <f>SUMIFS(#REF!,#REF!,$C39,#REF!,$E39,#REF!,$F39)</f>
        <v>#REF!</v>
      </c>
      <c r="Q39" s="29" t="e">
        <f>COUNTIFS(#REF!,$C39,#REF!,$E39,#REF!,$F39,#REF!,"&gt;=0")</f>
        <v>#REF!</v>
      </c>
      <c r="R39" s="10" t="e">
        <f>COUNTIFS(#REF!,$C39,#REF!,$E39,#REF!,$F39,#REF!,"лично")</f>
        <v>#REF!</v>
      </c>
      <c r="T39" s="12"/>
      <c r="U39" s="254"/>
    </row>
    <row r="40" spans="1:21">
      <c r="A40" s="94">
        <f t="shared" si="3"/>
        <v>20</v>
      </c>
      <c r="B40" s="257" t="s">
        <v>25</v>
      </c>
      <c r="C40" s="255" t="s">
        <v>161</v>
      </c>
      <c r="D40" s="95" t="s">
        <v>433</v>
      </c>
      <c r="E40" s="256"/>
      <c r="F40" s="258" t="str">
        <f t="shared" si="0"/>
        <v>Сокращенное название</v>
      </c>
      <c r="G40" s="259" t="s">
        <v>325</v>
      </c>
      <c r="H40" s="469" t="str">
        <f t="shared" si="4"/>
        <v>Фамилия_1 Имя Отчество</v>
      </c>
      <c r="I40" s="260">
        <f t="shared" si="1"/>
        <v>0</v>
      </c>
      <c r="J40" s="201">
        <f t="shared" si="2"/>
        <v>0</v>
      </c>
      <c r="K40" s="261"/>
      <c r="L40" s="264"/>
      <c r="M40" s="261"/>
      <c r="N40" s="188"/>
      <c r="O40" s="56"/>
      <c r="P40" s="10" t="e">
        <f>SUMIFS(#REF!,#REF!,$C40,#REF!,$E40,#REF!,$F40)</f>
        <v>#REF!</v>
      </c>
      <c r="Q40" s="29" t="e">
        <f>COUNTIFS(#REF!,$C40,#REF!,$E40,#REF!,$F40,#REF!,"&gt;=0")</f>
        <v>#REF!</v>
      </c>
      <c r="R40" s="10" t="e">
        <f>COUNTIFS(#REF!,$C40,#REF!,$E40,#REF!,$F40,#REF!,"лично")</f>
        <v>#REF!</v>
      </c>
      <c r="T40" s="12"/>
      <c r="U40" s="254"/>
    </row>
    <row r="41" spans="1:21">
      <c r="A41" s="94">
        <f t="shared" si="3"/>
        <v>21</v>
      </c>
      <c r="B41" s="257" t="s">
        <v>27</v>
      </c>
      <c r="C41" s="255" t="s">
        <v>161</v>
      </c>
      <c r="D41" s="95" t="s">
        <v>433</v>
      </c>
      <c r="E41" s="256"/>
      <c r="F41" s="258" t="str">
        <f t="shared" si="0"/>
        <v>Сокращенное название</v>
      </c>
      <c r="G41" s="259" t="s">
        <v>325</v>
      </c>
      <c r="H41" s="469" t="str">
        <f t="shared" si="4"/>
        <v>Фамилия_1 Имя Отчество</v>
      </c>
      <c r="I41" s="260">
        <f t="shared" si="1"/>
        <v>0</v>
      </c>
      <c r="J41" s="201">
        <f t="shared" si="2"/>
        <v>0</v>
      </c>
      <c r="K41" s="261"/>
      <c r="L41" s="264"/>
      <c r="M41" s="261"/>
      <c r="N41" s="188"/>
      <c r="O41" s="56"/>
      <c r="P41" s="10" t="e">
        <f>SUMIFS(#REF!,#REF!,$C41,#REF!,$E41,#REF!,$F41)</f>
        <v>#REF!</v>
      </c>
      <c r="Q41" s="29" t="e">
        <f>COUNTIFS(#REF!,$C41,#REF!,$E41,#REF!,$F41,#REF!,"&gt;=0")</f>
        <v>#REF!</v>
      </c>
      <c r="R41" s="10" t="e">
        <f>COUNTIFS(#REF!,$C41,#REF!,$E41,#REF!,$F41,#REF!,"лично")</f>
        <v>#REF!</v>
      </c>
      <c r="T41" s="12"/>
      <c r="U41" s="254"/>
    </row>
    <row r="42" spans="1:21">
      <c r="A42" s="94">
        <f t="shared" si="3"/>
        <v>22</v>
      </c>
      <c r="B42" s="257" t="s">
        <v>1</v>
      </c>
      <c r="C42" s="255" t="s">
        <v>161</v>
      </c>
      <c r="D42" s="95" t="s">
        <v>433</v>
      </c>
      <c r="E42" s="256"/>
      <c r="F42" s="258" t="str">
        <f t="shared" si="0"/>
        <v>Сокращенное название</v>
      </c>
      <c r="G42" s="259" t="s">
        <v>325</v>
      </c>
      <c r="H42" s="469" t="str">
        <f t="shared" si="4"/>
        <v>Фамилия_1 Имя Отчество</v>
      </c>
      <c r="I42" s="260">
        <f t="shared" si="1"/>
        <v>0</v>
      </c>
      <c r="J42" s="201">
        <f t="shared" si="2"/>
        <v>0</v>
      </c>
      <c r="K42" s="261"/>
      <c r="L42" s="264"/>
      <c r="M42" s="261"/>
      <c r="N42" s="188"/>
      <c r="O42" s="56"/>
      <c r="P42" s="10" t="e">
        <f>SUMIFS(#REF!,#REF!,$C42,#REF!,$E42,#REF!,$F42)</f>
        <v>#REF!</v>
      </c>
      <c r="Q42" s="29" t="e">
        <f>COUNTIFS(#REF!,$C42,#REF!,$E42,#REF!,$F42,#REF!,"&gt;=0")</f>
        <v>#REF!</v>
      </c>
      <c r="R42" s="10" t="e">
        <f>COUNTIFS(#REF!,$C42,#REF!,$E42,#REF!,$F42,#REF!,"лично")</f>
        <v>#REF!</v>
      </c>
      <c r="T42" s="12"/>
      <c r="U42" s="254"/>
    </row>
    <row r="43" spans="1:21">
      <c r="A43" s="94">
        <f t="shared" si="3"/>
        <v>23</v>
      </c>
      <c r="B43" s="257" t="s">
        <v>27</v>
      </c>
      <c r="C43" s="255" t="s">
        <v>161</v>
      </c>
      <c r="D43" s="95" t="s">
        <v>433</v>
      </c>
      <c r="E43" s="256"/>
      <c r="F43" s="258" t="str">
        <f t="shared" si="0"/>
        <v>Сокращенное название</v>
      </c>
      <c r="G43" s="259" t="s">
        <v>325</v>
      </c>
      <c r="H43" s="469" t="str">
        <f t="shared" si="4"/>
        <v>Фамилия_1 Имя Отчество</v>
      </c>
      <c r="I43" s="260">
        <f t="shared" si="1"/>
        <v>0</v>
      </c>
      <c r="J43" s="201">
        <f t="shared" si="2"/>
        <v>0</v>
      </c>
      <c r="K43" s="261"/>
      <c r="L43" s="264"/>
      <c r="M43" s="261"/>
      <c r="N43" s="188"/>
      <c r="O43" s="56"/>
      <c r="P43" s="10" t="e">
        <f>SUMIFS(#REF!,#REF!,$C43,#REF!,$E43,#REF!,$F43)</f>
        <v>#REF!</v>
      </c>
      <c r="Q43" s="29" t="e">
        <f>COUNTIFS(#REF!,$C43,#REF!,$E43,#REF!,$F43,#REF!,"&gt;=0")</f>
        <v>#REF!</v>
      </c>
      <c r="R43" s="10" t="e">
        <f>COUNTIFS(#REF!,$C43,#REF!,$E43,#REF!,$F43,#REF!,"лично")</f>
        <v>#REF!</v>
      </c>
      <c r="T43" s="12"/>
      <c r="U43" s="254"/>
    </row>
    <row r="44" spans="1:21">
      <c r="A44" s="94">
        <f t="shared" si="3"/>
        <v>24</v>
      </c>
      <c r="B44" s="257" t="s">
        <v>1</v>
      </c>
      <c r="C44" s="255" t="s">
        <v>161</v>
      </c>
      <c r="D44" s="95" t="s">
        <v>433</v>
      </c>
      <c r="E44" s="256"/>
      <c r="F44" s="258" t="str">
        <f t="shared" si="0"/>
        <v>Сокращенное название</v>
      </c>
      <c r="G44" s="259" t="s">
        <v>325</v>
      </c>
      <c r="H44" s="469" t="str">
        <f t="shared" si="4"/>
        <v>Фамилия_1 Имя Отчество</v>
      </c>
      <c r="I44" s="260">
        <f t="shared" si="1"/>
        <v>0</v>
      </c>
      <c r="J44" s="201">
        <f t="shared" si="2"/>
        <v>0</v>
      </c>
      <c r="K44" s="261"/>
      <c r="L44" s="264"/>
      <c r="M44" s="261"/>
      <c r="N44" s="188"/>
      <c r="O44" s="56"/>
      <c r="P44" s="10" t="e">
        <f>SUMIFS(#REF!,#REF!,$C44,#REF!,$E44,#REF!,$F44)</f>
        <v>#REF!</v>
      </c>
      <c r="Q44" s="29" t="e">
        <f>COUNTIFS(#REF!,$C44,#REF!,$E44,#REF!,$F44,#REF!,"&gt;=0")</f>
        <v>#REF!</v>
      </c>
      <c r="R44" s="10" t="e">
        <f>COUNTIFS(#REF!,$C44,#REF!,$E44,#REF!,$F44,#REF!,"лично")</f>
        <v>#REF!</v>
      </c>
      <c r="T44" s="12"/>
      <c r="U44" s="254"/>
    </row>
    <row r="45" spans="1:21" ht="15.75" thickBot="1">
      <c r="A45" s="96">
        <f t="shared" si="3"/>
        <v>25</v>
      </c>
      <c r="B45" s="764" t="s">
        <v>13</v>
      </c>
      <c r="C45" s="269" t="s">
        <v>161</v>
      </c>
      <c r="D45" s="97" t="s">
        <v>433</v>
      </c>
      <c r="E45" s="270"/>
      <c r="F45" s="271" t="str">
        <f t="shared" si="0"/>
        <v>Сокращенное название</v>
      </c>
      <c r="G45" s="272" t="s">
        <v>325</v>
      </c>
      <c r="H45" s="470" t="str">
        <f t="shared" si="4"/>
        <v>Фамилия_1 Имя Отчество</v>
      </c>
      <c r="I45" s="273">
        <f t="shared" si="1"/>
        <v>0</v>
      </c>
      <c r="J45" s="202">
        <f t="shared" si="2"/>
        <v>0</v>
      </c>
      <c r="K45" s="274"/>
      <c r="L45" s="277"/>
      <c r="M45" s="274"/>
      <c r="N45" s="189"/>
      <c r="O45" s="56"/>
      <c r="P45" s="10" t="e">
        <f>SUMIFS(#REF!,#REF!,$C45,#REF!,$E45,#REF!,$F45)</f>
        <v>#REF!</v>
      </c>
      <c r="Q45" s="29" t="e">
        <f>COUNTIFS(#REF!,$C45,#REF!,$E45,#REF!,$F45,#REF!,"&gt;=0")</f>
        <v>#REF!</v>
      </c>
      <c r="R45" s="10" t="e">
        <f>COUNTIFS(#REF!,$C45,#REF!,$E45,#REF!,$F45,#REF!,"лично")</f>
        <v>#REF!</v>
      </c>
      <c r="T45" s="12"/>
      <c r="U45" s="254"/>
    </row>
    <row r="46" spans="1:21">
      <c r="A46" s="92">
        <f t="shared" si="3"/>
        <v>26</v>
      </c>
      <c r="B46" s="62" t="s">
        <v>11</v>
      </c>
      <c r="C46" s="244" t="s">
        <v>162</v>
      </c>
      <c r="D46" s="93" t="s">
        <v>433</v>
      </c>
      <c r="E46" s="245"/>
      <c r="F46" s="98" t="str">
        <f t="shared" si="0"/>
        <v>Сокращенное название</v>
      </c>
      <c r="G46" s="246" t="s">
        <v>326</v>
      </c>
      <c r="H46" s="468" t="str">
        <f t="shared" si="4"/>
        <v>Фамилия_1 Имя Отчество</v>
      </c>
      <c r="I46" s="247">
        <f t="shared" si="1"/>
        <v>0</v>
      </c>
      <c r="J46" s="200">
        <f t="shared" si="2"/>
        <v>0</v>
      </c>
      <c r="K46" s="248"/>
      <c r="L46" s="251"/>
      <c r="M46" s="281"/>
      <c r="N46" s="191"/>
      <c r="O46" s="56"/>
      <c r="P46" s="10" t="e">
        <f>SUMIFS(#REF!,#REF!,$C46,#REF!,$E46,#REF!,$F46)</f>
        <v>#REF!</v>
      </c>
      <c r="Q46" s="29" t="e">
        <f>COUNTIFS(#REF!,$C46,#REF!,$E46,#REF!,$F46,#REF!,"&gt;=0")</f>
        <v>#REF!</v>
      </c>
      <c r="R46" s="10" t="e">
        <f>COUNTIFS(#REF!,$C46,#REF!,$E46,#REF!,$F46,#REF!,"лично")</f>
        <v>#REF!</v>
      </c>
      <c r="T46" s="12"/>
      <c r="U46" s="254"/>
    </row>
    <row r="47" spans="1:21">
      <c r="A47" s="94">
        <f t="shared" si="3"/>
        <v>27</v>
      </c>
      <c r="B47" s="257" t="s">
        <v>13</v>
      </c>
      <c r="C47" s="255" t="s">
        <v>162</v>
      </c>
      <c r="D47" s="95" t="s">
        <v>433</v>
      </c>
      <c r="E47" s="256"/>
      <c r="F47" s="285" t="str">
        <f t="shared" si="0"/>
        <v>Сокращенное название</v>
      </c>
      <c r="G47" s="259" t="s">
        <v>326</v>
      </c>
      <c r="H47" s="469" t="str">
        <f t="shared" si="4"/>
        <v>Фамилия_1 Имя Отчество</v>
      </c>
      <c r="I47" s="260">
        <f t="shared" si="1"/>
        <v>0</v>
      </c>
      <c r="J47" s="201">
        <f t="shared" si="2"/>
        <v>0</v>
      </c>
      <c r="K47" s="261"/>
      <c r="L47" s="264"/>
      <c r="M47" s="261"/>
      <c r="N47" s="188"/>
      <c r="O47" s="56"/>
      <c r="P47" s="10" t="e">
        <f>SUMIFS(#REF!,#REF!,$C47,#REF!,$E47,#REF!,$F47)</f>
        <v>#REF!</v>
      </c>
      <c r="Q47" s="29" t="e">
        <f>COUNTIFS(#REF!,$C47,#REF!,$E47,#REF!,$F47,#REF!,"&gt;=0")</f>
        <v>#REF!</v>
      </c>
      <c r="R47" s="10" t="e">
        <f>COUNTIFS(#REF!,$C47,#REF!,$E47,#REF!,$F47,#REF!,"лично")</f>
        <v>#REF!</v>
      </c>
      <c r="T47" s="12"/>
      <c r="U47" s="254"/>
    </row>
    <row r="48" spans="1:21">
      <c r="A48" s="94">
        <f t="shared" si="3"/>
        <v>28</v>
      </c>
      <c r="B48" s="257" t="s">
        <v>23</v>
      </c>
      <c r="C48" s="255" t="s">
        <v>162</v>
      </c>
      <c r="D48" s="95" t="s">
        <v>433</v>
      </c>
      <c r="E48" s="256"/>
      <c r="F48" s="285" t="str">
        <f t="shared" si="0"/>
        <v>Сокращенное название</v>
      </c>
      <c r="G48" s="259" t="s">
        <v>326</v>
      </c>
      <c r="H48" s="469" t="str">
        <f t="shared" si="4"/>
        <v>Фамилия_1 Имя Отчество</v>
      </c>
      <c r="I48" s="260">
        <f t="shared" si="1"/>
        <v>0</v>
      </c>
      <c r="J48" s="201">
        <f t="shared" si="2"/>
        <v>0</v>
      </c>
      <c r="K48" s="261"/>
      <c r="L48" s="264"/>
      <c r="M48" s="261"/>
      <c r="N48" s="188"/>
      <c r="O48" s="56"/>
      <c r="P48" s="10" t="e">
        <f>SUMIFS(#REF!,#REF!,$C48,#REF!,$E48,#REF!,$F48)</f>
        <v>#REF!</v>
      </c>
      <c r="Q48" s="29" t="e">
        <f>COUNTIFS(#REF!,$C48,#REF!,$E48,#REF!,$F48,#REF!,"&gt;=0")</f>
        <v>#REF!</v>
      </c>
      <c r="R48" s="10" t="e">
        <f>COUNTIFS(#REF!,$C48,#REF!,$E48,#REF!,$F48,#REF!,"лично")</f>
        <v>#REF!</v>
      </c>
      <c r="T48" s="12"/>
      <c r="U48" s="254"/>
    </row>
    <row r="49" spans="1:21">
      <c r="A49" s="94">
        <f t="shared" si="3"/>
        <v>29</v>
      </c>
      <c r="B49" s="257" t="s">
        <v>25</v>
      </c>
      <c r="C49" s="255" t="s">
        <v>162</v>
      </c>
      <c r="D49" s="95" t="s">
        <v>433</v>
      </c>
      <c r="E49" s="256"/>
      <c r="F49" s="285" t="str">
        <f t="shared" si="0"/>
        <v>Сокращенное название</v>
      </c>
      <c r="G49" s="259" t="s">
        <v>326</v>
      </c>
      <c r="H49" s="469" t="str">
        <f t="shared" si="4"/>
        <v>Фамилия_1 Имя Отчество</v>
      </c>
      <c r="I49" s="260">
        <f t="shared" si="1"/>
        <v>0</v>
      </c>
      <c r="J49" s="201">
        <f t="shared" si="2"/>
        <v>0</v>
      </c>
      <c r="K49" s="261"/>
      <c r="L49" s="264"/>
      <c r="M49" s="261"/>
      <c r="N49" s="188"/>
      <c r="O49" s="56"/>
      <c r="P49" s="10" t="e">
        <f>SUMIFS(#REF!,#REF!,$C49,#REF!,$E49,#REF!,$F49)</f>
        <v>#REF!</v>
      </c>
      <c r="Q49" s="29" t="e">
        <f>COUNTIFS(#REF!,$C49,#REF!,$E49,#REF!,$F49,#REF!,"&gt;=0")</f>
        <v>#REF!</v>
      </c>
      <c r="R49" s="10" t="e">
        <f>COUNTIFS(#REF!,$C49,#REF!,$E49,#REF!,$F49,#REF!,"лично")</f>
        <v>#REF!</v>
      </c>
      <c r="T49" s="12"/>
      <c r="U49" s="254"/>
    </row>
    <row r="50" spans="1:21">
      <c r="A50" s="94">
        <f t="shared" si="3"/>
        <v>30</v>
      </c>
      <c r="B50" s="257" t="s">
        <v>27</v>
      </c>
      <c r="C50" s="255" t="s">
        <v>162</v>
      </c>
      <c r="D50" s="95" t="s">
        <v>433</v>
      </c>
      <c r="E50" s="256"/>
      <c r="F50" s="285" t="str">
        <f t="shared" si="0"/>
        <v>Сокращенное название</v>
      </c>
      <c r="G50" s="259" t="s">
        <v>326</v>
      </c>
      <c r="H50" s="469" t="str">
        <f t="shared" si="4"/>
        <v>Фамилия_1 Имя Отчество</v>
      </c>
      <c r="I50" s="260">
        <f t="shared" si="1"/>
        <v>0</v>
      </c>
      <c r="J50" s="201">
        <f t="shared" si="2"/>
        <v>0</v>
      </c>
      <c r="K50" s="261"/>
      <c r="L50" s="264"/>
      <c r="M50" s="261"/>
      <c r="N50" s="188"/>
      <c r="O50" s="56"/>
      <c r="P50" s="10" t="e">
        <f>SUMIFS(#REF!,#REF!,$C50,#REF!,$E50,#REF!,$F50)</f>
        <v>#REF!</v>
      </c>
      <c r="Q50" s="29" t="e">
        <f>COUNTIFS(#REF!,$C50,#REF!,$E50,#REF!,$F50,#REF!,"&gt;=0")</f>
        <v>#REF!</v>
      </c>
      <c r="R50" s="10" t="e">
        <f>COUNTIFS(#REF!,$C50,#REF!,$E50,#REF!,$F50,#REF!,"лично")</f>
        <v>#REF!</v>
      </c>
      <c r="T50" s="12"/>
      <c r="U50" s="254"/>
    </row>
    <row r="51" spans="1:21">
      <c r="A51" s="94">
        <f t="shared" si="3"/>
        <v>31</v>
      </c>
      <c r="B51" s="257" t="s">
        <v>29</v>
      </c>
      <c r="C51" s="255" t="s">
        <v>162</v>
      </c>
      <c r="D51" s="95" t="s">
        <v>433</v>
      </c>
      <c r="E51" s="256"/>
      <c r="F51" s="285" t="str">
        <f t="shared" si="0"/>
        <v>Сокращенное название</v>
      </c>
      <c r="G51" s="259" t="s">
        <v>326</v>
      </c>
      <c r="H51" s="469" t="str">
        <f t="shared" si="4"/>
        <v>Фамилия_1 Имя Отчество</v>
      </c>
      <c r="I51" s="260">
        <f t="shared" si="1"/>
        <v>0</v>
      </c>
      <c r="J51" s="201">
        <f t="shared" si="2"/>
        <v>0</v>
      </c>
      <c r="K51" s="261"/>
      <c r="L51" s="264"/>
      <c r="M51" s="261"/>
      <c r="N51" s="188"/>
      <c r="O51" s="56"/>
      <c r="P51" s="10" t="e">
        <f>SUMIFS(#REF!,#REF!,$C51,#REF!,$E51,#REF!,$F51)</f>
        <v>#REF!</v>
      </c>
      <c r="Q51" s="29" t="e">
        <f>COUNTIFS(#REF!,$C51,#REF!,$E51,#REF!,$F51,#REF!,"&gt;=0")</f>
        <v>#REF!</v>
      </c>
      <c r="R51" s="10" t="e">
        <f>COUNTIFS(#REF!,$C51,#REF!,$E51,#REF!,$F51,#REF!,"лично")</f>
        <v>#REF!</v>
      </c>
      <c r="T51" s="12"/>
      <c r="U51" s="254"/>
    </row>
    <row r="52" spans="1:21">
      <c r="A52" s="94">
        <f t="shared" si="3"/>
        <v>32</v>
      </c>
      <c r="B52" s="257" t="s">
        <v>29</v>
      </c>
      <c r="C52" s="255" t="s">
        <v>162</v>
      </c>
      <c r="D52" s="95" t="s">
        <v>433</v>
      </c>
      <c r="E52" s="256"/>
      <c r="F52" s="285" t="str">
        <f t="shared" si="0"/>
        <v>Сокращенное название</v>
      </c>
      <c r="G52" s="259" t="s">
        <v>326</v>
      </c>
      <c r="H52" s="469" t="str">
        <f t="shared" si="4"/>
        <v>Фамилия_1 Имя Отчество</v>
      </c>
      <c r="I52" s="260">
        <f t="shared" si="1"/>
        <v>0</v>
      </c>
      <c r="J52" s="201">
        <f t="shared" si="2"/>
        <v>0</v>
      </c>
      <c r="K52" s="261"/>
      <c r="L52" s="264"/>
      <c r="M52" s="261"/>
      <c r="N52" s="188"/>
      <c r="O52" s="56"/>
      <c r="P52" s="10" t="e">
        <f>SUMIFS(#REF!,#REF!,$C52,#REF!,$E52,#REF!,$F52)</f>
        <v>#REF!</v>
      </c>
      <c r="Q52" s="29" t="e">
        <f>COUNTIFS(#REF!,$C52,#REF!,$E52,#REF!,$F52,#REF!,"&gt;=0")</f>
        <v>#REF!</v>
      </c>
      <c r="R52" s="10" t="e">
        <f>COUNTIFS(#REF!,$C52,#REF!,$E52,#REF!,$F52,#REF!,"лично")</f>
        <v>#REF!</v>
      </c>
      <c r="T52" s="12"/>
      <c r="U52" s="254"/>
    </row>
    <row r="53" spans="1:21">
      <c r="A53" s="94">
        <f t="shared" si="3"/>
        <v>33</v>
      </c>
      <c r="B53" s="257" t="s">
        <v>29</v>
      </c>
      <c r="C53" s="255" t="s">
        <v>162</v>
      </c>
      <c r="D53" s="95" t="s">
        <v>433</v>
      </c>
      <c r="E53" s="256"/>
      <c r="F53" s="285" t="str">
        <f t="shared" si="0"/>
        <v>Сокращенное название</v>
      </c>
      <c r="G53" s="259" t="s">
        <v>326</v>
      </c>
      <c r="H53" s="469" t="str">
        <f t="shared" si="4"/>
        <v>Фамилия_1 Имя Отчество</v>
      </c>
      <c r="I53" s="260">
        <f t="shared" ref="I53:I70" si="5">COUNTIF(K53:L53,"&gt;=0")-COUNTIF(K53:L53,"в")-COUNTIF(K53:L53,"л")</f>
        <v>0</v>
      </c>
      <c r="J53" s="201">
        <f t="shared" ref="J53:J69" si="6">COUNTIF(K53:L53,"л")</f>
        <v>0</v>
      </c>
      <c r="K53" s="261"/>
      <c r="L53" s="264"/>
      <c r="M53" s="261"/>
      <c r="N53" s="188"/>
      <c r="O53" s="56"/>
      <c r="P53" s="10" t="e">
        <f>SUMIFS(#REF!,#REF!,$C53,#REF!,$E53,#REF!,$F53)</f>
        <v>#REF!</v>
      </c>
      <c r="Q53" s="29" t="e">
        <f>COUNTIFS(#REF!,$C53,#REF!,$E53,#REF!,$F53,#REF!,"&gt;=0")</f>
        <v>#REF!</v>
      </c>
      <c r="R53" s="10" t="e">
        <f>COUNTIFS(#REF!,$C53,#REF!,$E53,#REF!,$F53,#REF!,"лично")</f>
        <v>#REF!</v>
      </c>
      <c r="T53" s="12"/>
      <c r="U53" s="254"/>
    </row>
    <row r="54" spans="1:21">
      <c r="A54" s="94">
        <f t="shared" si="3"/>
        <v>34</v>
      </c>
      <c r="B54" s="257" t="s">
        <v>23</v>
      </c>
      <c r="C54" s="255" t="s">
        <v>162</v>
      </c>
      <c r="D54" s="95" t="s">
        <v>433</v>
      </c>
      <c r="E54" s="256"/>
      <c r="F54" s="285" t="str">
        <f t="shared" si="0"/>
        <v>Сокращенное название</v>
      </c>
      <c r="G54" s="259" t="s">
        <v>326</v>
      </c>
      <c r="H54" s="469" t="str">
        <f t="shared" si="4"/>
        <v>Фамилия_1 Имя Отчество</v>
      </c>
      <c r="I54" s="260">
        <f t="shared" si="5"/>
        <v>0</v>
      </c>
      <c r="J54" s="201">
        <f t="shared" si="6"/>
        <v>0</v>
      </c>
      <c r="K54" s="261"/>
      <c r="L54" s="264"/>
      <c r="M54" s="261"/>
      <c r="N54" s="188"/>
      <c r="O54" s="56"/>
      <c r="P54" s="10" t="e">
        <f>SUMIFS(#REF!,#REF!,$C54,#REF!,$E54,#REF!,$F54)</f>
        <v>#REF!</v>
      </c>
      <c r="Q54" s="29" t="e">
        <f>COUNTIFS(#REF!,$C54,#REF!,$E54,#REF!,$F54,#REF!,"&gt;=0")</f>
        <v>#REF!</v>
      </c>
      <c r="R54" s="10" t="e">
        <f>COUNTIFS(#REF!,$C54,#REF!,$E54,#REF!,$F54,#REF!,"лично")</f>
        <v>#REF!</v>
      </c>
      <c r="T54" s="12"/>
      <c r="U54" s="254"/>
    </row>
    <row r="55" spans="1:21">
      <c r="A55" s="94">
        <f t="shared" si="3"/>
        <v>35</v>
      </c>
      <c r="B55" s="257" t="s">
        <v>25</v>
      </c>
      <c r="C55" s="255" t="s">
        <v>162</v>
      </c>
      <c r="D55" s="95" t="s">
        <v>433</v>
      </c>
      <c r="E55" s="256"/>
      <c r="F55" s="285" t="str">
        <f t="shared" si="0"/>
        <v>Сокращенное название</v>
      </c>
      <c r="G55" s="259" t="s">
        <v>326</v>
      </c>
      <c r="H55" s="469" t="str">
        <f t="shared" si="4"/>
        <v>Фамилия_1 Имя Отчество</v>
      </c>
      <c r="I55" s="260">
        <f t="shared" si="5"/>
        <v>0</v>
      </c>
      <c r="J55" s="201">
        <f t="shared" si="6"/>
        <v>0</v>
      </c>
      <c r="K55" s="261"/>
      <c r="L55" s="264"/>
      <c r="M55" s="261"/>
      <c r="N55" s="188"/>
      <c r="O55" s="56"/>
      <c r="P55" s="10" t="e">
        <f>SUMIFS(#REF!,#REF!,$C55,#REF!,$E55,#REF!,$F55)</f>
        <v>#REF!</v>
      </c>
      <c r="Q55" s="29" t="e">
        <f>COUNTIFS(#REF!,$C55,#REF!,$E55,#REF!,$F55,#REF!,"&gt;=0")</f>
        <v>#REF!</v>
      </c>
      <c r="R55" s="10" t="e">
        <f>COUNTIFS(#REF!,$C55,#REF!,$E55,#REF!,$F55,#REF!,"лично")</f>
        <v>#REF!</v>
      </c>
      <c r="T55" s="12"/>
      <c r="U55" s="254"/>
    </row>
    <row r="56" spans="1:21">
      <c r="A56" s="94">
        <f t="shared" si="3"/>
        <v>36</v>
      </c>
      <c r="B56" s="257" t="s">
        <v>27</v>
      </c>
      <c r="C56" s="255" t="s">
        <v>162</v>
      </c>
      <c r="D56" s="95" t="s">
        <v>433</v>
      </c>
      <c r="E56" s="256"/>
      <c r="F56" s="285" t="str">
        <f t="shared" si="0"/>
        <v>Сокращенное название</v>
      </c>
      <c r="G56" s="259" t="s">
        <v>326</v>
      </c>
      <c r="H56" s="469" t="str">
        <f t="shared" si="4"/>
        <v>Фамилия_1 Имя Отчество</v>
      </c>
      <c r="I56" s="260">
        <f t="shared" si="5"/>
        <v>0</v>
      </c>
      <c r="J56" s="201">
        <f t="shared" si="6"/>
        <v>0</v>
      </c>
      <c r="K56" s="261"/>
      <c r="L56" s="264"/>
      <c r="M56" s="261"/>
      <c r="N56" s="188"/>
      <c r="O56" s="56"/>
      <c r="P56" s="10" t="e">
        <f>SUMIFS(#REF!,#REF!,$C56,#REF!,$E56,#REF!,$F56)</f>
        <v>#REF!</v>
      </c>
      <c r="Q56" s="29" t="e">
        <f>COUNTIFS(#REF!,$C56,#REF!,$E56,#REF!,$F56,#REF!,"&gt;=0")</f>
        <v>#REF!</v>
      </c>
      <c r="R56" s="10" t="e">
        <f>COUNTIFS(#REF!,$C56,#REF!,$E56,#REF!,$F56,#REF!,"лично")</f>
        <v>#REF!</v>
      </c>
      <c r="T56" s="12"/>
      <c r="U56" s="254"/>
    </row>
    <row r="57" spans="1:21">
      <c r="A57" s="94">
        <f t="shared" si="3"/>
        <v>37</v>
      </c>
      <c r="B57" s="257" t="s">
        <v>29</v>
      </c>
      <c r="C57" s="255" t="s">
        <v>162</v>
      </c>
      <c r="D57" s="95" t="s">
        <v>433</v>
      </c>
      <c r="E57" s="256"/>
      <c r="F57" s="285" t="str">
        <f t="shared" si="0"/>
        <v>Сокращенное название</v>
      </c>
      <c r="G57" s="259" t="s">
        <v>326</v>
      </c>
      <c r="H57" s="469" t="str">
        <f t="shared" si="4"/>
        <v>Фамилия_1 Имя Отчество</v>
      </c>
      <c r="I57" s="260">
        <f t="shared" si="5"/>
        <v>0</v>
      </c>
      <c r="J57" s="201">
        <f t="shared" si="6"/>
        <v>0</v>
      </c>
      <c r="K57" s="261"/>
      <c r="L57" s="264"/>
      <c r="M57" s="261"/>
      <c r="N57" s="188"/>
      <c r="O57" s="56"/>
      <c r="P57" s="10" t="e">
        <f>SUMIFS(#REF!,#REF!,$C57,#REF!,$E57,#REF!,$F57)</f>
        <v>#REF!</v>
      </c>
      <c r="Q57" s="29" t="e">
        <f>COUNTIFS(#REF!,$C57,#REF!,$E57,#REF!,$F57,#REF!,"&gt;=0")</f>
        <v>#REF!</v>
      </c>
      <c r="R57" s="10" t="e">
        <f>COUNTIFS(#REF!,$C57,#REF!,$E57,#REF!,$F57,#REF!,"лично")</f>
        <v>#REF!</v>
      </c>
      <c r="T57" s="12"/>
      <c r="U57" s="254"/>
    </row>
    <row r="58" spans="1:21">
      <c r="A58" s="94">
        <f t="shared" si="3"/>
        <v>38</v>
      </c>
      <c r="B58" s="257" t="s">
        <v>29</v>
      </c>
      <c r="C58" s="255" t="s">
        <v>162</v>
      </c>
      <c r="D58" s="95" t="s">
        <v>433</v>
      </c>
      <c r="E58" s="256"/>
      <c r="F58" s="285" t="str">
        <f t="shared" si="0"/>
        <v>Сокращенное название</v>
      </c>
      <c r="G58" s="259" t="s">
        <v>326</v>
      </c>
      <c r="H58" s="469" t="str">
        <f t="shared" si="4"/>
        <v>Фамилия_1 Имя Отчество</v>
      </c>
      <c r="I58" s="260">
        <f t="shared" si="5"/>
        <v>0</v>
      </c>
      <c r="J58" s="201">
        <f t="shared" si="6"/>
        <v>0</v>
      </c>
      <c r="K58" s="261"/>
      <c r="L58" s="264"/>
      <c r="M58" s="261"/>
      <c r="N58" s="188"/>
      <c r="O58" s="56"/>
      <c r="P58" s="10" t="e">
        <f>SUMIFS(#REF!,#REF!,$C58,#REF!,$E58,#REF!,$F58)</f>
        <v>#REF!</v>
      </c>
      <c r="Q58" s="29" t="e">
        <f>COUNTIFS(#REF!,$C58,#REF!,$E58,#REF!,$F58,#REF!,"&gt;=0")</f>
        <v>#REF!</v>
      </c>
      <c r="R58" s="10" t="e">
        <f>COUNTIFS(#REF!,$C58,#REF!,$E58,#REF!,$F58,#REF!,"лично")</f>
        <v>#REF!</v>
      </c>
      <c r="T58" s="12"/>
      <c r="U58" s="254"/>
    </row>
    <row r="59" spans="1:21">
      <c r="A59" s="94">
        <f t="shared" si="3"/>
        <v>39</v>
      </c>
      <c r="B59" s="257" t="s">
        <v>29</v>
      </c>
      <c r="C59" s="255" t="s">
        <v>162</v>
      </c>
      <c r="D59" s="95" t="s">
        <v>433</v>
      </c>
      <c r="E59" s="256"/>
      <c r="F59" s="285" t="str">
        <f t="shared" si="0"/>
        <v>Сокращенное название</v>
      </c>
      <c r="G59" s="259" t="s">
        <v>326</v>
      </c>
      <c r="H59" s="469" t="str">
        <f t="shared" si="4"/>
        <v>Фамилия_1 Имя Отчество</v>
      </c>
      <c r="I59" s="260">
        <f t="shared" si="5"/>
        <v>0</v>
      </c>
      <c r="J59" s="201">
        <f t="shared" si="6"/>
        <v>0</v>
      </c>
      <c r="K59" s="261"/>
      <c r="L59" s="264"/>
      <c r="M59" s="261"/>
      <c r="N59" s="188"/>
      <c r="O59" s="56"/>
      <c r="P59" s="10" t="e">
        <f>SUMIFS(#REF!,#REF!,$C59,#REF!,$E59,#REF!,$F59)</f>
        <v>#REF!</v>
      </c>
      <c r="Q59" s="29" t="e">
        <f>COUNTIFS(#REF!,$C59,#REF!,$E59,#REF!,$F59,#REF!,"&gt;=0")</f>
        <v>#REF!</v>
      </c>
      <c r="R59" s="10" t="e">
        <f>COUNTIFS(#REF!,$C59,#REF!,$E59,#REF!,$F59,#REF!,"лично")</f>
        <v>#REF!</v>
      </c>
      <c r="T59" s="12"/>
      <c r="U59" s="254"/>
    </row>
    <row r="60" spans="1:21">
      <c r="A60" s="94">
        <f t="shared" si="3"/>
        <v>40</v>
      </c>
      <c r="B60" s="257" t="s">
        <v>29</v>
      </c>
      <c r="C60" s="255" t="s">
        <v>162</v>
      </c>
      <c r="D60" s="95" t="s">
        <v>433</v>
      </c>
      <c r="E60" s="256"/>
      <c r="F60" s="285" t="str">
        <f t="shared" si="0"/>
        <v>Сокращенное название</v>
      </c>
      <c r="G60" s="259" t="s">
        <v>326</v>
      </c>
      <c r="H60" s="469" t="str">
        <f t="shared" si="4"/>
        <v>Фамилия_1 Имя Отчество</v>
      </c>
      <c r="I60" s="260">
        <f t="shared" si="5"/>
        <v>0</v>
      </c>
      <c r="J60" s="201">
        <f t="shared" si="6"/>
        <v>0</v>
      </c>
      <c r="K60" s="261"/>
      <c r="L60" s="264"/>
      <c r="M60" s="261"/>
      <c r="N60" s="188"/>
      <c r="O60" s="56"/>
      <c r="P60" s="10" t="e">
        <f>SUMIFS(#REF!,#REF!,$C60,#REF!,$E60,#REF!,$F60)</f>
        <v>#REF!</v>
      </c>
      <c r="Q60" s="29" t="e">
        <f>COUNTIFS(#REF!,$C60,#REF!,$E60,#REF!,$F60,#REF!,"&gt;=0")</f>
        <v>#REF!</v>
      </c>
      <c r="R60" s="10" t="e">
        <f>COUNTIFS(#REF!,$C60,#REF!,$E60,#REF!,$F60,#REF!,"лично")</f>
        <v>#REF!</v>
      </c>
      <c r="T60" s="12"/>
      <c r="U60" s="254"/>
    </row>
    <row r="61" spans="1:21">
      <c r="A61" s="94">
        <f t="shared" si="3"/>
        <v>41</v>
      </c>
      <c r="B61" s="257" t="s">
        <v>29</v>
      </c>
      <c r="C61" s="255" t="s">
        <v>162</v>
      </c>
      <c r="D61" s="95" t="s">
        <v>433</v>
      </c>
      <c r="E61" s="256"/>
      <c r="F61" s="285" t="str">
        <f t="shared" si="0"/>
        <v>Сокращенное название</v>
      </c>
      <c r="G61" s="259" t="s">
        <v>326</v>
      </c>
      <c r="H61" s="469" t="str">
        <f t="shared" si="4"/>
        <v>Фамилия_1 Имя Отчество</v>
      </c>
      <c r="I61" s="260">
        <f t="shared" si="5"/>
        <v>0</v>
      </c>
      <c r="J61" s="201">
        <f t="shared" si="6"/>
        <v>0</v>
      </c>
      <c r="K61" s="261"/>
      <c r="L61" s="264"/>
      <c r="M61" s="261"/>
      <c r="N61" s="188"/>
      <c r="O61" s="56"/>
      <c r="P61" s="10" t="e">
        <f>SUMIFS(#REF!,#REF!,$C61,#REF!,$E61,#REF!,$F61)</f>
        <v>#REF!</v>
      </c>
      <c r="Q61" s="29" t="e">
        <f>COUNTIFS(#REF!,$C61,#REF!,$E61,#REF!,$F61,#REF!,"&gt;=0")</f>
        <v>#REF!</v>
      </c>
      <c r="R61" s="10" t="e">
        <f>COUNTIFS(#REF!,$C61,#REF!,$E61,#REF!,$F61,#REF!,"лично")</f>
        <v>#REF!</v>
      </c>
      <c r="T61" s="12"/>
      <c r="U61" s="254"/>
    </row>
    <row r="62" spans="1:21">
      <c r="A62" s="94">
        <f t="shared" si="3"/>
        <v>42</v>
      </c>
      <c r="B62" s="257" t="s">
        <v>29</v>
      </c>
      <c r="C62" s="255" t="s">
        <v>162</v>
      </c>
      <c r="D62" s="95" t="s">
        <v>433</v>
      </c>
      <c r="E62" s="256"/>
      <c r="F62" s="285" t="str">
        <f t="shared" si="0"/>
        <v>Сокращенное название</v>
      </c>
      <c r="G62" s="259" t="s">
        <v>326</v>
      </c>
      <c r="H62" s="469" t="str">
        <f t="shared" si="4"/>
        <v>Фамилия_1 Имя Отчество</v>
      </c>
      <c r="I62" s="260">
        <f t="shared" si="5"/>
        <v>0</v>
      </c>
      <c r="J62" s="201">
        <f t="shared" si="6"/>
        <v>0</v>
      </c>
      <c r="K62" s="261"/>
      <c r="L62" s="264"/>
      <c r="M62" s="261"/>
      <c r="N62" s="188"/>
      <c r="O62" s="56"/>
      <c r="P62" s="10" t="e">
        <f>SUMIFS(#REF!,#REF!,$C62,#REF!,$E62,#REF!,$F62)</f>
        <v>#REF!</v>
      </c>
      <c r="Q62" s="29" t="e">
        <f>COUNTIFS(#REF!,$C62,#REF!,$E62,#REF!,$F62,#REF!,"&gt;=0")</f>
        <v>#REF!</v>
      </c>
      <c r="R62" s="10" t="e">
        <f>COUNTIFS(#REF!,$C62,#REF!,$E62,#REF!,$F62,#REF!,"лично")</f>
        <v>#REF!</v>
      </c>
      <c r="T62" s="12"/>
      <c r="U62" s="254"/>
    </row>
    <row r="63" spans="1:21">
      <c r="A63" s="94">
        <f t="shared" si="3"/>
        <v>43</v>
      </c>
      <c r="B63" s="257" t="s">
        <v>29</v>
      </c>
      <c r="C63" s="255" t="s">
        <v>162</v>
      </c>
      <c r="D63" s="95" t="s">
        <v>433</v>
      </c>
      <c r="E63" s="256"/>
      <c r="F63" s="285" t="str">
        <f t="shared" si="0"/>
        <v>Сокращенное название</v>
      </c>
      <c r="G63" s="259" t="s">
        <v>326</v>
      </c>
      <c r="H63" s="469" t="str">
        <f t="shared" si="4"/>
        <v>Фамилия_1 Имя Отчество</v>
      </c>
      <c r="I63" s="260">
        <f t="shared" si="5"/>
        <v>0</v>
      </c>
      <c r="J63" s="201">
        <f t="shared" si="6"/>
        <v>0</v>
      </c>
      <c r="K63" s="261"/>
      <c r="L63" s="264"/>
      <c r="M63" s="261"/>
      <c r="N63" s="188"/>
      <c r="O63" s="56"/>
      <c r="P63" s="10" t="e">
        <f>SUMIFS(#REF!,#REF!,$C63,#REF!,$E63,#REF!,$F63)</f>
        <v>#REF!</v>
      </c>
      <c r="Q63" s="29" t="e">
        <f>COUNTIFS(#REF!,$C63,#REF!,$E63,#REF!,$F63,#REF!,"&gt;=0")</f>
        <v>#REF!</v>
      </c>
      <c r="R63" s="10" t="e">
        <f>COUNTIFS(#REF!,$C63,#REF!,$E63,#REF!,$F63,#REF!,"лично")</f>
        <v>#REF!</v>
      </c>
      <c r="T63" s="12"/>
      <c r="U63" s="254"/>
    </row>
    <row r="64" spans="1:21">
      <c r="A64" s="94">
        <f t="shared" si="3"/>
        <v>44</v>
      </c>
      <c r="B64" s="257" t="s">
        <v>29</v>
      </c>
      <c r="C64" s="255" t="s">
        <v>162</v>
      </c>
      <c r="D64" s="95" t="s">
        <v>433</v>
      </c>
      <c r="E64" s="256"/>
      <c r="F64" s="285" t="str">
        <f t="shared" si="0"/>
        <v>Сокращенное название</v>
      </c>
      <c r="G64" s="259" t="s">
        <v>326</v>
      </c>
      <c r="H64" s="469" t="str">
        <f t="shared" si="4"/>
        <v>Фамилия_1 Имя Отчество</v>
      </c>
      <c r="I64" s="260">
        <f t="shared" si="5"/>
        <v>0</v>
      </c>
      <c r="J64" s="201">
        <f t="shared" si="6"/>
        <v>0</v>
      </c>
      <c r="K64" s="261"/>
      <c r="L64" s="264"/>
      <c r="M64" s="261"/>
      <c r="N64" s="188"/>
      <c r="O64" s="56"/>
      <c r="P64" s="10" t="e">
        <f>SUMIFS(#REF!,#REF!,$C64,#REF!,$E64,#REF!,$F64)</f>
        <v>#REF!</v>
      </c>
      <c r="Q64" s="29" t="e">
        <f>COUNTIFS(#REF!,$C64,#REF!,$E64,#REF!,$F64,#REF!,"&gt;=0")</f>
        <v>#REF!</v>
      </c>
      <c r="R64" s="10" t="e">
        <f>COUNTIFS(#REF!,$C64,#REF!,$E64,#REF!,$F64,#REF!,"лично")</f>
        <v>#REF!</v>
      </c>
      <c r="T64" s="12"/>
      <c r="U64" s="254"/>
    </row>
    <row r="65" spans="1:45">
      <c r="A65" s="94">
        <f t="shared" si="3"/>
        <v>45</v>
      </c>
      <c r="B65" s="66" t="s">
        <v>10</v>
      </c>
      <c r="C65" s="255" t="s">
        <v>162</v>
      </c>
      <c r="D65" s="95" t="s">
        <v>433</v>
      </c>
      <c r="E65" s="256"/>
      <c r="F65" s="285" t="str">
        <f t="shared" si="0"/>
        <v>Сокращенное название</v>
      </c>
      <c r="G65" s="259" t="s">
        <v>326</v>
      </c>
      <c r="H65" s="469" t="str">
        <f t="shared" si="4"/>
        <v>Фамилия_1 Имя Отчество</v>
      </c>
      <c r="I65" s="260">
        <f t="shared" si="5"/>
        <v>0</v>
      </c>
      <c r="J65" s="201">
        <f t="shared" si="6"/>
        <v>0</v>
      </c>
      <c r="K65" s="261"/>
      <c r="L65" s="264"/>
      <c r="M65" s="261"/>
      <c r="N65" s="188"/>
      <c r="O65" s="56"/>
      <c r="P65" s="10" t="e">
        <f>SUMIFS(#REF!,#REF!,$C65,#REF!,$E65,#REF!,$F65)</f>
        <v>#REF!</v>
      </c>
      <c r="Q65" s="29" t="e">
        <f>COUNTIFS(#REF!,$C65,#REF!,$E65,#REF!,$F65,#REF!,"&gt;=0")</f>
        <v>#REF!</v>
      </c>
      <c r="R65" s="10" t="e">
        <f>COUNTIFS(#REF!,$C65,#REF!,$E65,#REF!,$F65,#REF!,"лично")</f>
        <v>#REF!</v>
      </c>
      <c r="T65" s="12"/>
      <c r="U65" s="254"/>
    </row>
    <row r="66" spans="1:45">
      <c r="A66" s="94">
        <f t="shared" si="3"/>
        <v>46</v>
      </c>
      <c r="B66" s="66" t="s">
        <v>11</v>
      </c>
      <c r="C66" s="255" t="s">
        <v>162</v>
      </c>
      <c r="D66" s="95" t="s">
        <v>433</v>
      </c>
      <c r="E66" s="256"/>
      <c r="F66" s="285" t="str">
        <f t="shared" si="0"/>
        <v>Сокращенное название</v>
      </c>
      <c r="G66" s="259" t="s">
        <v>326</v>
      </c>
      <c r="H66" s="469" t="str">
        <f t="shared" si="4"/>
        <v>Фамилия_1 Имя Отчество</v>
      </c>
      <c r="I66" s="260">
        <f t="shared" si="5"/>
        <v>0</v>
      </c>
      <c r="J66" s="201">
        <f t="shared" si="6"/>
        <v>0</v>
      </c>
      <c r="K66" s="261"/>
      <c r="L66" s="264"/>
      <c r="M66" s="261"/>
      <c r="N66" s="188"/>
      <c r="O66" s="56"/>
      <c r="P66" s="10" t="e">
        <f>SUMIFS(#REF!,#REF!,$C66,#REF!,$E66,#REF!,$F66)</f>
        <v>#REF!</v>
      </c>
      <c r="Q66" s="29" t="e">
        <f>COUNTIFS(#REF!,$C66,#REF!,$E66,#REF!,$F66,#REF!,"&gt;=0")</f>
        <v>#REF!</v>
      </c>
      <c r="R66" s="10" t="e">
        <f>COUNTIFS(#REF!,$C66,#REF!,$E66,#REF!,$F66,#REF!,"лично")</f>
        <v>#REF!</v>
      </c>
      <c r="T66" s="12"/>
      <c r="U66" s="254"/>
    </row>
    <row r="67" spans="1:45">
      <c r="A67" s="94">
        <f t="shared" si="3"/>
        <v>47</v>
      </c>
      <c r="B67" s="66" t="s">
        <v>35</v>
      </c>
      <c r="C67" s="255" t="s">
        <v>162</v>
      </c>
      <c r="D67" s="95" t="s">
        <v>433</v>
      </c>
      <c r="E67" s="256"/>
      <c r="F67" s="285" t="str">
        <f t="shared" si="0"/>
        <v>Сокращенное название</v>
      </c>
      <c r="G67" s="259" t="s">
        <v>326</v>
      </c>
      <c r="H67" s="469" t="str">
        <f t="shared" si="4"/>
        <v>Фамилия_1 Имя Отчество</v>
      </c>
      <c r="I67" s="260">
        <f t="shared" si="5"/>
        <v>0</v>
      </c>
      <c r="J67" s="201">
        <f t="shared" si="6"/>
        <v>0</v>
      </c>
      <c r="K67" s="261"/>
      <c r="L67" s="264"/>
      <c r="M67" s="261"/>
      <c r="N67" s="188"/>
      <c r="O67" s="56"/>
      <c r="P67" s="10" t="e">
        <f>SUMIFS(#REF!,#REF!,$C67,#REF!,$E67,#REF!,$F67)</f>
        <v>#REF!</v>
      </c>
      <c r="Q67" s="29" t="e">
        <f>COUNTIFS(#REF!,$C67,#REF!,$E67,#REF!,$F67,#REF!,"&gt;=0")</f>
        <v>#REF!</v>
      </c>
      <c r="R67" s="10" t="e">
        <f>COUNTIFS(#REF!,$C67,#REF!,$E67,#REF!,$F67,#REF!,"лично")</f>
        <v>#REF!</v>
      </c>
      <c r="T67" s="12"/>
      <c r="U67" s="254"/>
    </row>
    <row r="68" spans="1:45">
      <c r="A68" s="94">
        <f t="shared" si="3"/>
        <v>48</v>
      </c>
      <c r="B68" s="257" t="s">
        <v>14</v>
      </c>
      <c r="C68" s="255" t="s">
        <v>162</v>
      </c>
      <c r="D68" s="95" t="s">
        <v>433</v>
      </c>
      <c r="E68" s="256"/>
      <c r="F68" s="285" t="str">
        <f t="shared" si="0"/>
        <v>Сокращенное название</v>
      </c>
      <c r="G68" s="259" t="s">
        <v>326</v>
      </c>
      <c r="H68" s="469" t="str">
        <f t="shared" si="4"/>
        <v>Фамилия_1 Имя Отчество</v>
      </c>
      <c r="I68" s="260">
        <f t="shared" si="5"/>
        <v>0</v>
      </c>
      <c r="J68" s="201">
        <f t="shared" si="6"/>
        <v>0</v>
      </c>
      <c r="K68" s="261"/>
      <c r="L68" s="264"/>
      <c r="M68" s="261"/>
      <c r="N68" s="188"/>
      <c r="O68" s="56"/>
      <c r="P68" s="10" t="e">
        <f>SUMIFS(#REF!,#REF!,$C68,#REF!,$E68,#REF!,$F68)</f>
        <v>#REF!</v>
      </c>
      <c r="Q68" s="29" t="e">
        <f>COUNTIFS(#REF!,$C68,#REF!,$E68,#REF!,$F68,#REF!,"&gt;=0")</f>
        <v>#REF!</v>
      </c>
      <c r="R68" s="10" t="e">
        <f>COUNTIFS(#REF!,$C68,#REF!,$E68,#REF!,$F68,#REF!,"лично")</f>
        <v>#REF!</v>
      </c>
      <c r="T68" s="12"/>
      <c r="U68" s="254"/>
    </row>
    <row r="69" spans="1:45">
      <c r="A69" s="94">
        <f t="shared" si="3"/>
        <v>49</v>
      </c>
      <c r="B69" s="66" t="s">
        <v>35</v>
      </c>
      <c r="C69" s="255" t="s">
        <v>162</v>
      </c>
      <c r="D69" s="95" t="s">
        <v>433</v>
      </c>
      <c r="E69" s="256"/>
      <c r="F69" s="285" t="str">
        <f t="shared" si="0"/>
        <v>Сокращенное название</v>
      </c>
      <c r="G69" s="259" t="s">
        <v>326</v>
      </c>
      <c r="H69" s="469" t="str">
        <f t="shared" si="4"/>
        <v>Фамилия_1 Имя Отчество</v>
      </c>
      <c r="I69" s="260">
        <f t="shared" si="5"/>
        <v>0</v>
      </c>
      <c r="J69" s="201">
        <f t="shared" si="6"/>
        <v>0</v>
      </c>
      <c r="K69" s="261"/>
      <c r="L69" s="264"/>
      <c r="M69" s="261"/>
      <c r="N69" s="188"/>
      <c r="O69" s="56"/>
      <c r="P69" s="10" t="e">
        <f>SUMIFS(#REF!,#REF!,$C69,#REF!,$E69,#REF!,$F69)</f>
        <v>#REF!</v>
      </c>
      <c r="Q69" s="29" t="e">
        <f>COUNTIFS(#REF!,$C69,#REF!,$E69,#REF!,$F69,#REF!,"&gt;=0")</f>
        <v>#REF!</v>
      </c>
      <c r="R69" s="10" t="e">
        <f>COUNTIFS(#REF!,$C69,#REF!,$E69,#REF!,$F69,#REF!,"лично")</f>
        <v>#REF!</v>
      </c>
      <c r="T69" s="12"/>
      <c r="U69" s="254"/>
    </row>
    <row r="70" spans="1:45" ht="15.75" thickBot="1">
      <c r="A70" s="96">
        <f t="shared" si="3"/>
        <v>50</v>
      </c>
      <c r="B70" s="99" t="s">
        <v>10</v>
      </c>
      <c r="C70" s="269" t="s">
        <v>162</v>
      </c>
      <c r="D70" s="97" t="s">
        <v>433</v>
      </c>
      <c r="E70" s="270"/>
      <c r="F70" s="286" t="str">
        <f t="shared" si="0"/>
        <v>Сокращенное название</v>
      </c>
      <c r="G70" s="272" t="s">
        <v>326</v>
      </c>
      <c r="H70" s="470" t="str">
        <f t="shared" si="4"/>
        <v>Фамилия_1 Имя Отчество</v>
      </c>
      <c r="I70" s="273">
        <f t="shared" si="5"/>
        <v>0</v>
      </c>
      <c r="J70" s="68">
        <f>COUNTA(K70:L70)</f>
        <v>0</v>
      </c>
      <c r="K70" s="274"/>
      <c r="L70" s="277"/>
      <c r="M70" s="274"/>
      <c r="N70" s="189"/>
      <c r="O70" s="56"/>
      <c r="P70" s="10" t="e">
        <f>SUMIFS(#REF!,#REF!,$C70,#REF!,$E70,#REF!,$F70)</f>
        <v>#REF!</v>
      </c>
      <c r="Q70" s="29" t="e">
        <f>COUNTIFS(#REF!,$C70,#REF!,$E70,#REF!,$F70,#REF!,"&gt;=0")</f>
        <v>#REF!</v>
      </c>
      <c r="R70" s="10" t="e">
        <f>COUNTIFS(#REF!,$C70,#REF!,$E70,#REF!,$F70,#REF!,"лично")</f>
        <v>#REF!</v>
      </c>
      <c r="T70" s="12"/>
    </row>
    <row r="71" spans="1:45">
      <c r="A71" s="1"/>
      <c r="B71" s="287"/>
      <c r="C71" s="14"/>
      <c r="D71" s="288"/>
      <c r="E71" s="288"/>
      <c r="F71" s="288"/>
      <c r="G71" s="101" t="s">
        <v>110</v>
      </c>
      <c r="H71" s="101" t="s">
        <v>118</v>
      </c>
      <c r="I71" s="327">
        <f>SUMIF(G21:G70,"Ж",I21:I70)</f>
        <v>0</v>
      </c>
      <c r="J71" s="327">
        <f>SUM(J21:J45)</f>
        <v>0</v>
      </c>
      <c r="K71" s="102"/>
      <c r="L71" s="102"/>
      <c r="M71" s="102"/>
      <c r="N71" s="102"/>
      <c r="O71" s="103"/>
      <c r="P71" s="901" t="e">
        <f>SUM(P21:P70)</f>
        <v>#REF!</v>
      </c>
      <c r="Q71" s="901" t="e">
        <f t="shared" ref="Q71:R71" si="7">SUM(Q21:Q70)</f>
        <v>#REF!</v>
      </c>
      <c r="R71" s="901" t="e">
        <f t="shared" si="7"/>
        <v>#REF!</v>
      </c>
      <c r="S71" s="90"/>
      <c r="T71" s="90"/>
      <c r="U71" s="102"/>
      <c r="V71" s="102"/>
      <c r="W71" s="102"/>
      <c r="X71" s="102"/>
      <c r="Y71" s="102"/>
      <c r="Z71" s="102"/>
      <c r="AA71" s="289"/>
      <c r="AB71" s="289"/>
      <c r="AC71" s="102"/>
      <c r="AD71" s="102"/>
      <c r="AE71" s="102"/>
      <c r="AF71" s="102"/>
      <c r="AG71" s="102"/>
      <c r="AH71" s="102"/>
      <c r="AI71" s="90"/>
      <c r="AJ71" s="182"/>
      <c r="AK71" s="90"/>
      <c r="AL71" s="182"/>
      <c r="AM71" s="90"/>
      <c r="AN71" s="4"/>
      <c r="AO71" s="4"/>
      <c r="AP71" s="4"/>
    </row>
    <row r="72" spans="1:45">
      <c r="A72" s="1"/>
      <c r="B72" s="287"/>
      <c r="C72" s="14"/>
      <c r="D72" s="288"/>
      <c r="E72" s="288"/>
      <c r="F72" s="288"/>
      <c r="G72" s="101"/>
      <c r="H72" s="101" t="s">
        <v>117</v>
      </c>
      <c r="I72" s="126">
        <f>SUMIF(G21:G70,"М",I21:I70)</f>
        <v>0</v>
      </c>
      <c r="J72" s="126">
        <f>SUM(J46:J70)</f>
        <v>0</v>
      </c>
      <c r="K72" s="102"/>
      <c r="L72" s="102"/>
      <c r="M72" s="102"/>
      <c r="N72" s="102"/>
      <c r="O72" s="103"/>
      <c r="P72" s="103"/>
      <c r="Q72" s="103"/>
      <c r="R72" s="103"/>
      <c r="S72" s="90"/>
      <c r="T72" s="90"/>
      <c r="U72" s="90"/>
      <c r="V72" s="90"/>
      <c r="W72" s="102"/>
      <c r="X72" s="102"/>
      <c r="Y72" s="102"/>
      <c r="Z72" s="102"/>
      <c r="AA72" s="102"/>
      <c r="AB72" s="102"/>
      <c r="AC72" s="289"/>
      <c r="AD72" s="289"/>
      <c r="AE72" s="102"/>
      <c r="AF72" s="102"/>
      <c r="AG72" s="102"/>
      <c r="AH72" s="102"/>
      <c r="AI72" s="102"/>
      <c r="AJ72" s="102"/>
      <c r="AK72" s="90"/>
      <c r="AL72" s="182"/>
      <c r="AM72" s="90"/>
      <c r="AN72" s="182"/>
      <c r="AO72" s="90"/>
      <c r="AP72" s="4"/>
      <c r="AQ72" s="4"/>
      <c r="AR72" s="4"/>
    </row>
    <row r="73" spans="1:45">
      <c r="A73" s="77"/>
      <c r="B73" s="25"/>
      <c r="C73" s="12"/>
      <c r="D73" s="26"/>
      <c r="E73" s="18"/>
      <c r="F73" s="290"/>
      <c r="G73" s="192"/>
      <c r="H73" s="101" t="s">
        <v>231</v>
      </c>
      <c r="I73" s="203">
        <f>COUNTIFS(I21:I70,"&gt;0",G21:G70,"Ж")</f>
        <v>0</v>
      </c>
      <c r="J73" s="10"/>
      <c r="K73" s="291"/>
      <c r="L73" s="291"/>
      <c r="M73" s="291"/>
      <c r="N73" s="291"/>
      <c r="O73" s="291"/>
      <c r="P73" s="291"/>
      <c r="Q73" s="291"/>
      <c r="R73" s="291"/>
      <c r="S73" s="291"/>
      <c r="T73" s="291"/>
      <c r="U73" s="291"/>
      <c r="V73" s="291"/>
      <c r="W73" s="291"/>
      <c r="X73" s="291"/>
      <c r="Y73" s="291"/>
      <c r="Z73" s="291"/>
      <c r="AA73" s="54"/>
      <c r="AB73" s="54"/>
      <c r="AC73" s="54"/>
      <c r="AD73" s="54"/>
      <c r="AE73" s="291"/>
      <c r="AF73" s="291"/>
      <c r="AG73" s="291"/>
      <c r="AH73" s="291"/>
      <c r="AI73" s="54"/>
      <c r="AJ73" s="54"/>
      <c r="AK73" s="291"/>
      <c r="AL73" s="55"/>
      <c r="AM73" s="56"/>
      <c r="AN73" s="10"/>
      <c r="AO73" s="29"/>
      <c r="AP73" s="10"/>
      <c r="AR73" s="12"/>
    </row>
    <row r="74" spans="1:45">
      <c r="A74" s="77"/>
      <c r="B74" s="25"/>
      <c r="C74" s="12"/>
      <c r="D74" s="26"/>
      <c r="E74" s="18"/>
      <c r="F74" s="290"/>
      <c r="G74" s="192"/>
      <c r="H74" s="101" t="s">
        <v>232</v>
      </c>
      <c r="I74" s="203">
        <f>COUNTIFS(I21:I70,"&gt;0",G21:G70,"М")</f>
        <v>0</v>
      </c>
      <c r="J74" s="10"/>
      <c r="K74" s="291"/>
      <c r="L74" s="291"/>
      <c r="M74" s="291"/>
      <c r="N74" s="291"/>
      <c r="O74" s="291"/>
      <c r="P74" s="291"/>
      <c r="Q74" s="291"/>
      <c r="R74" s="291"/>
      <c r="S74" s="291"/>
      <c r="T74" s="291"/>
      <c r="U74" s="291"/>
      <c r="V74" s="291"/>
      <c r="W74" s="291"/>
      <c r="X74" s="291"/>
      <c r="Y74" s="291"/>
      <c r="Z74" s="291"/>
      <c r="AA74" s="54"/>
      <c r="AB74" s="54"/>
      <c r="AC74" s="54"/>
      <c r="AD74" s="54"/>
      <c r="AE74" s="291"/>
      <c r="AF74" s="291"/>
      <c r="AG74" s="291"/>
      <c r="AH74" s="291"/>
      <c r="AI74" s="54"/>
      <c r="AJ74" s="54"/>
      <c r="AK74" s="291"/>
      <c r="AL74" s="55"/>
      <c r="AM74" s="56"/>
      <c r="AN74" s="10"/>
      <c r="AO74" s="29"/>
      <c r="AP74" s="10"/>
      <c r="AR74" s="12"/>
    </row>
    <row r="75" spans="1:45">
      <c r="A75" s="1"/>
      <c r="B75" s="287"/>
      <c r="C75" s="14"/>
      <c r="D75" s="288"/>
      <c r="E75" s="288"/>
      <c r="F75" s="288"/>
      <c r="G75" s="101"/>
      <c r="H75" s="101"/>
      <c r="I75" s="101"/>
      <c r="J75" s="127"/>
      <c r="K75" s="127"/>
      <c r="L75" s="102"/>
      <c r="M75" s="102"/>
      <c r="N75" s="102"/>
      <c r="O75" s="102"/>
      <c r="P75" s="103"/>
      <c r="Q75" s="103"/>
      <c r="R75" s="103"/>
      <c r="S75" s="103"/>
      <c r="T75" s="90"/>
      <c r="U75" s="90"/>
      <c r="V75" s="90"/>
      <c r="W75" s="90"/>
      <c r="X75" s="102"/>
      <c r="Y75" s="102"/>
      <c r="Z75" s="102"/>
      <c r="AA75" s="102"/>
      <c r="AB75" s="102"/>
      <c r="AC75" s="102"/>
      <c r="AD75" s="289"/>
      <c r="AE75" s="289"/>
      <c r="AF75" s="102"/>
      <c r="AG75" s="102"/>
      <c r="AH75" s="102"/>
      <c r="AI75" s="102"/>
      <c r="AJ75" s="102"/>
      <c r="AK75" s="182"/>
      <c r="AL75" s="90"/>
      <c r="AM75" s="182"/>
      <c r="AN75" s="90"/>
      <c r="AO75" s="182"/>
      <c r="AP75" s="90"/>
      <c r="AQ75" s="4"/>
      <c r="AR75" s="4"/>
      <c r="AS75" s="4"/>
    </row>
    <row r="76" spans="1:45">
      <c r="A76" s="517" t="s">
        <v>111</v>
      </c>
      <c r="B76" s="2"/>
      <c r="C76" s="2"/>
      <c r="E76" s="518" t="s">
        <v>222</v>
      </c>
      <c r="G76" s="2"/>
      <c r="H76" s="2"/>
      <c r="I76" s="2"/>
      <c r="J76" s="2"/>
      <c r="K76" s="2"/>
      <c r="L76" s="125"/>
      <c r="M76" s="60"/>
      <c r="N76" s="60"/>
      <c r="O76" s="60"/>
      <c r="P76" s="58"/>
      <c r="Q76" s="58"/>
      <c r="R76" s="58"/>
      <c r="S76" s="58"/>
      <c r="T76" s="59"/>
      <c r="U76" s="59"/>
      <c r="V76" s="59"/>
      <c r="W76" s="59"/>
      <c r="X76" s="60"/>
      <c r="Y76" s="60"/>
      <c r="Z76" s="60"/>
      <c r="AA76" s="60"/>
      <c r="AB76" s="60"/>
      <c r="AC76" s="60"/>
      <c r="AD76" s="60"/>
      <c r="AE76" s="102"/>
      <c r="AF76" s="102"/>
      <c r="AG76" s="102"/>
      <c r="AH76" s="102"/>
      <c r="AI76" s="102"/>
      <c r="AJ76" s="102"/>
      <c r="AK76" s="182"/>
      <c r="AL76" s="90"/>
      <c r="AM76" s="182"/>
      <c r="AN76" s="90"/>
      <c r="AO76" s="182"/>
      <c r="AP76" s="59"/>
      <c r="AQ76" s="3"/>
      <c r="AR76" s="3"/>
      <c r="AS76" s="3"/>
    </row>
    <row r="77" spans="1:45">
      <c r="A77" s="517" t="s">
        <v>111</v>
      </c>
      <c r="B77" s="2"/>
      <c r="C77" s="2"/>
      <c r="E77" s="518" t="s">
        <v>223</v>
      </c>
      <c r="G77" s="2"/>
      <c r="H77" s="2"/>
      <c r="I77" s="2"/>
      <c r="J77" s="2"/>
      <c r="K77" s="2"/>
      <c r="L77" s="60"/>
      <c r="M77" s="60"/>
      <c r="N77" s="60"/>
      <c r="O77" s="60"/>
      <c r="P77" s="58"/>
      <c r="Q77" s="58"/>
      <c r="R77" s="58"/>
      <c r="S77" s="58"/>
      <c r="T77" s="59"/>
      <c r="U77" s="59"/>
      <c r="V77" s="59"/>
      <c r="W77" s="59"/>
      <c r="X77" s="60"/>
      <c r="Y77" s="60"/>
      <c r="Z77" s="60"/>
      <c r="AA77" s="60"/>
      <c r="AB77" s="60"/>
      <c r="AC77" s="60"/>
      <c r="AD77" s="60"/>
      <c r="AE77" s="102"/>
      <c r="AF77" s="102"/>
      <c r="AG77" s="102"/>
      <c r="AH77" s="102"/>
      <c r="AI77" s="102"/>
      <c r="AJ77" s="102"/>
      <c r="AK77" s="182"/>
      <c r="AL77" s="90"/>
      <c r="AM77" s="182"/>
      <c r="AN77" s="90"/>
      <c r="AO77" s="182"/>
      <c r="AP77" s="59"/>
      <c r="AQ77" s="3"/>
      <c r="AR77" s="3"/>
      <c r="AS77" s="3"/>
    </row>
    <row r="78" spans="1:45">
      <c r="A78" s="517" t="s">
        <v>111</v>
      </c>
      <c r="B78" s="2"/>
      <c r="C78" s="2"/>
      <c r="E78" s="518" t="s">
        <v>224</v>
      </c>
      <c r="G78" s="2"/>
      <c r="H78" s="2"/>
      <c r="I78" s="2"/>
      <c r="J78" s="2"/>
      <c r="K78" s="2"/>
      <c r="L78" s="60"/>
      <c r="M78" s="60"/>
      <c r="N78" s="60"/>
      <c r="O78" s="60"/>
      <c r="P78" s="58"/>
      <c r="Q78" s="58"/>
      <c r="R78" s="58"/>
      <c r="S78" s="58"/>
      <c r="T78" s="59"/>
      <c r="U78" s="59"/>
      <c r="V78" s="59"/>
      <c r="W78" s="59"/>
      <c r="X78" s="60"/>
      <c r="Y78" s="60"/>
      <c r="Z78" s="60"/>
      <c r="AA78" s="60"/>
      <c r="AB78" s="60"/>
      <c r="AC78" s="60"/>
      <c r="AD78" s="60"/>
      <c r="AE78" s="102"/>
      <c r="AF78" s="102"/>
      <c r="AG78" s="102"/>
      <c r="AH78" s="102"/>
      <c r="AI78" s="102"/>
      <c r="AJ78" s="102"/>
      <c r="AK78" s="182"/>
      <c r="AL78" s="90"/>
      <c r="AM78" s="182"/>
      <c r="AN78" s="90"/>
      <c r="AO78" s="182"/>
      <c r="AP78" s="59"/>
      <c r="AQ78" s="3"/>
      <c r="AR78" s="3"/>
      <c r="AS78" s="3"/>
    </row>
    <row r="79" spans="1:45">
      <c r="A79" s="13"/>
      <c r="B79" s="2"/>
      <c r="C79" s="2"/>
      <c r="D79" s="104"/>
      <c r="E79" s="4"/>
      <c r="F79" s="4"/>
      <c r="G79" s="2"/>
      <c r="H79" s="2"/>
      <c r="I79" s="2"/>
      <c r="J79" s="2"/>
      <c r="K79" s="2"/>
      <c r="L79" s="60"/>
      <c r="M79" s="60"/>
      <c r="N79" s="60"/>
      <c r="O79" s="60"/>
      <c r="P79" s="58"/>
      <c r="Q79" s="58"/>
      <c r="R79" s="58"/>
      <c r="S79" s="58"/>
      <c r="T79" s="59"/>
      <c r="U79" s="59"/>
      <c r="V79" s="59"/>
      <c r="W79" s="59"/>
      <c r="X79" s="60"/>
      <c r="Y79" s="60"/>
      <c r="Z79" s="60"/>
      <c r="AA79" s="60"/>
      <c r="AB79" s="60"/>
      <c r="AC79" s="60"/>
      <c r="AD79" s="60"/>
      <c r="AE79" s="102"/>
      <c r="AF79" s="102"/>
      <c r="AG79" s="102"/>
      <c r="AH79" s="102"/>
      <c r="AI79" s="102"/>
      <c r="AJ79" s="102"/>
      <c r="AK79" s="182"/>
      <c r="AL79" s="90"/>
      <c r="AM79" s="182"/>
      <c r="AN79" s="90"/>
      <c r="AO79" s="182"/>
      <c r="AP79" s="59"/>
      <c r="AQ79" s="3"/>
      <c r="AR79" s="3"/>
      <c r="AS79" s="3"/>
    </row>
    <row r="80" spans="1:45" ht="12.75" customHeight="1">
      <c r="A80" s="13"/>
      <c r="B80" s="2"/>
      <c r="C80" s="2"/>
      <c r="D80" s="104"/>
      <c r="E80" s="4"/>
      <c r="F80" s="4"/>
      <c r="G80" s="2"/>
      <c r="H80" s="2"/>
      <c r="I80" s="2"/>
      <c r="J80" s="2"/>
      <c r="K80" s="2"/>
      <c r="L80" s="60"/>
      <c r="M80" s="60"/>
      <c r="N80" s="60"/>
      <c r="O80" s="60"/>
      <c r="P80" s="58"/>
      <c r="Q80" s="58"/>
      <c r="R80" s="58"/>
      <c r="S80" s="58"/>
      <c r="T80" s="59"/>
      <c r="U80" s="59"/>
      <c r="V80" s="59"/>
      <c r="W80" s="59"/>
      <c r="X80" s="60"/>
      <c r="Y80" s="60"/>
      <c r="Z80" s="60"/>
      <c r="AA80" s="60"/>
      <c r="AB80" s="60"/>
      <c r="AC80" s="60"/>
      <c r="AD80" s="60"/>
      <c r="AE80" s="102"/>
      <c r="AF80" s="102"/>
      <c r="AG80" s="102"/>
      <c r="AH80" s="102"/>
      <c r="AI80" s="102"/>
      <c r="AJ80" s="102"/>
      <c r="AK80" s="182"/>
      <c r="AL80" s="90"/>
      <c r="AM80" s="182"/>
      <c r="AN80" s="90"/>
      <c r="AO80" s="182"/>
      <c r="AP80" s="59"/>
      <c r="AQ80" s="3"/>
      <c r="AR80" s="3"/>
      <c r="AS80" s="3"/>
    </row>
    <row r="81" spans="1:65" ht="15.75" customHeight="1">
      <c r="A81" s="105"/>
      <c r="B81" s="484" t="s">
        <v>112</v>
      </c>
      <c r="C81" s="34"/>
      <c r="D81" s="106"/>
      <c r="E81" s="165"/>
      <c r="F81" s="165"/>
      <c r="G81" s="34"/>
      <c r="H81" s="34"/>
      <c r="I81" s="34"/>
      <c r="J81" s="34"/>
      <c r="K81" s="34"/>
      <c r="L81" s="107"/>
      <c r="M81" s="107"/>
      <c r="N81" s="107"/>
      <c r="O81" s="107"/>
      <c r="P81" s="108"/>
      <c r="Q81" s="108"/>
      <c r="R81" s="108"/>
      <c r="S81" s="108"/>
      <c r="T81" s="109"/>
      <c r="U81" s="109"/>
      <c r="V81" s="109"/>
      <c r="W81" s="109"/>
      <c r="X81" s="107"/>
      <c r="Y81" s="107"/>
      <c r="Z81" s="107"/>
      <c r="AA81" s="107"/>
      <c r="AB81" s="107"/>
      <c r="AC81" s="107"/>
      <c r="AD81" s="107"/>
      <c r="AE81" s="183"/>
      <c r="AF81" s="183"/>
      <c r="AG81" s="183"/>
      <c r="AH81" s="183"/>
      <c r="AI81" s="183"/>
      <c r="AJ81" s="183"/>
      <c r="AK81" s="182"/>
      <c r="AL81" s="184"/>
      <c r="AM81" s="182"/>
      <c r="AN81" s="184"/>
      <c r="AO81" s="182"/>
      <c r="AP81" s="35"/>
    </row>
    <row r="82" spans="1:65" ht="18">
      <c r="A82" s="105"/>
      <c r="B82" s="171" t="s">
        <v>233</v>
      </c>
      <c r="C82" s="34"/>
      <c r="D82" s="106"/>
      <c r="E82" s="165"/>
      <c r="F82" s="165"/>
      <c r="G82" s="34"/>
      <c r="H82" s="34"/>
      <c r="I82" s="34"/>
      <c r="J82" s="34"/>
      <c r="K82" s="34"/>
      <c r="L82" s="107"/>
      <c r="M82" s="108"/>
      <c r="N82" s="108"/>
      <c r="O82" s="109"/>
      <c r="P82" s="109"/>
      <c r="Q82" s="183"/>
      <c r="R82" s="183"/>
      <c r="S82" s="183"/>
      <c r="T82" s="184"/>
      <c r="U82" s="182"/>
      <c r="V82" s="109"/>
      <c r="W82" s="35"/>
      <c r="X82" s="35"/>
      <c r="Y82" s="35"/>
    </row>
    <row r="83" spans="1:65" s="292" customFormat="1" ht="18.75">
      <c r="A83" s="490"/>
      <c r="B83" s="488" t="s">
        <v>262</v>
      </c>
      <c r="C83" s="488"/>
      <c r="D83" s="487"/>
      <c r="E83" s="491"/>
      <c r="F83" s="491"/>
      <c r="G83" s="488"/>
      <c r="H83" s="488"/>
      <c r="I83" s="488"/>
      <c r="J83" s="488"/>
      <c r="K83" s="488"/>
      <c r="L83" s="492"/>
      <c r="M83" s="492"/>
      <c r="N83" s="492"/>
      <c r="O83" s="492"/>
      <c r="P83" s="493"/>
      <c r="Q83" s="493"/>
      <c r="R83" s="493"/>
      <c r="S83" s="493"/>
      <c r="T83" s="494"/>
      <c r="U83" s="494"/>
      <c r="V83" s="494"/>
      <c r="W83" s="494"/>
      <c r="X83" s="492"/>
      <c r="Y83" s="492"/>
      <c r="Z83" s="492"/>
      <c r="AA83" s="492"/>
      <c r="AB83" s="492"/>
      <c r="AC83" s="492"/>
      <c r="AD83" s="492"/>
      <c r="AE83" s="492"/>
      <c r="AF83" s="495"/>
      <c r="AG83" s="495"/>
      <c r="AH83" s="495"/>
      <c r="AI83" s="495"/>
      <c r="AJ83" s="495"/>
      <c r="AK83" s="496"/>
      <c r="AL83" s="497"/>
      <c r="AM83" s="496"/>
      <c r="AN83" s="497"/>
      <c r="AO83" s="494"/>
      <c r="AP83" s="498"/>
      <c r="AQ83" s="498"/>
      <c r="AR83" s="498"/>
    </row>
    <row r="84" spans="1:65" ht="18">
      <c r="A84" s="13"/>
      <c r="B84" s="485" t="s">
        <v>113</v>
      </c>
      <c r="C84" s="2"/>
      <c r="D84" s="104"/>
      <c r="E84" s="4"/>
      <c r="F84" s="4"/>
      <c r="G84" s="2"/>
      <c r="H84" s="2"/>
      <c r="I84" s="2"/>
      <c r="J84" s="2"/>
      <c r="K84" s="2"/>
      <c r="L84" s="60"/>
      <c r="M84" s="58"/>
      <c r="N84" s="58"/>
      <c r="O84" s="59"/>
      <c r="P84" s="59"/>
      <c r="Q84" s="60"/>
      <c r="R84" s="60"/>
      <c r="S84" s="60"/>
      <c r="T84" s="59"/>
      <c r="U84" s="127"/>
      <c r="V84" s="59"/>
      <c r="W84" s="3"/>
      <c r="X84" s="3"/>
      <c r="Y84" s="3"/>
    </row>
    <row r="85" spans="1:65" ht="18">
      <c r="A85" s="13"/>
      <c r="B85" s="486" t="s">
        <v>234</v>
      </c>
      <c r="C85" s="2"/>
      <c r="D85" s="104"/>
      <c r="E85" s="4"/>
      <c r="F85" s="4"/>
      <c r="G85" s="2"/>
      <c r="H85" s="2"/>
      <c r="I85" s="2"/>
      <c r="J85" s="2"/>
      <c r="K85" s="2"/>
      <c r="L85" s="60"/>
      <c r="M85" s="58"/>
      <c r="N85" s="58"/>
      <c r="O85" s="59"/>
      <c r="P85" s="59"/>
      <c r="Q85" s="60"/>
      <c r="R85" s="60"/>
      <c r="S85" s="60"/>
      <c r="T85" s="59"/>
      <c r="U85" s="125"/>
      <c r="V85" s="59"/>
      <c r="W85" s="3"/>
      <c r="X85" s="3"/>
      <c r="Y85" s="3"/>
    </row>
    <row r="86" spans="1:65" s="292" customFormat="1" ht="26.25" customHeight="1">
      <c r="A86" s="174"/>
      <c r="B86" s="204" t="s">
        <v>361</v>
      </c>
      <c r="C86" s="174"/>
      <c r="D86" s="205"/>
      <c r="E86" s="175"/>
      <c r="F86" s="175"/>
      <c r="G86" s="174"/>
      <c r="H86" s="174"/>
      <c r="I86" s="174"/>
      <c r="J86" s="174"/>
      <c r="K86" s="174"/>
      <c r="L86" s="206"/>
      <c r="M86" s="207"/>
      <c r="N86" s="207"/>
      <c r="O86" s="208"/>
      <c r="P86" s="208"/>
      <c r="Q86" s="206"/>
      <c r="R86" s="206"/>
      <c r="S86" s="206"/>
      <c r="T86" s="208"/>
      <c r="U86" s="209"/>
      <c r="V86" s="208"/>
      <c r="W86" s="205"/>
      <c r="X86" s="205"/>
      <c r="Y86" s="205"/>
    </row>
    <row r="87" spans="1:65" s="292" customFormat="1" ht="64.5" customHeight="1">
      <c r="A87" s="174"/>
      <c r="B87" s="1708" t="s">
        <v>114</v>
      </c>
      <c r="C87" s="1708"/>
      <c r="D87" s="1708"/>
      <c r="E87" s="1708"/>
      <c r="F87" s="1708"/>
      <c r="G87" s="1708"/>
      <c r="H87" s="1708"/>
      <c r="I87" s="1708"/>
      <c r="J87" s="1708"/>
      <c r="K87" s="1708"/>
      <c r="L87" s="1708"/>
      <c r="M87" s="1708"/>
      <c r="N87" s="1708"/>
      <c r="O87" s="1708"/>
      <c r="P87" s="1708"/>
      <c r="Q87" s="1708"/>
      <c r="R87" s="1708"/>
      <c r="S87" s="1708"/>
      <c r="T87" s="1708"/>
      <c r="U87" s="1708"/>
      <c r="V87" s="1708"/>
      <c r="W87" s="1708"/>
      <c r="X87" s="1708"/>
      <c r="Y87" s="1708"/>
      <c r="Z87" s="1708"/>
      <c r="AA87" s="1708"/>
      <c r="AB87" s="1708"/>
      <c r="AC87" s="1708"/>
      <c r="AD87" s="1708"/>
      <c r="AE87" s="1708"/>
      <c r="AF87" s="1708"/>
      <c r="AG87" s="1708"/>
      <c r="AH87" s="1708"/>
      <c r="AI87" s="1708"/>
      <c r="AJ87" s="1708"/>
      <c r="AK87" s="1708"/>
      <c r="AL87" s="1708"/>
    </row>
    <row r="88" spans="1:65" s="292" customFormat="1" ht="18.75">
      <c r="A88" s="174"/>
      <c r="B88" s="1708" t="s">
        <v>115</v>
      </c>
      <c r="C88" s="1708"/>
      <c r="D88" s="1708"/>
      <c r="E88" s="1708"/>
      <c r="F88" s="1708"/>
      <c r="G88" s="1708"/>
      <c r="H88" s="1708"/>
      <c r="I88" s="1708"/>
      <c r="J88" s="1708"/>
      <c r="K88" s="1708"/>
      <c r="L88" s="1708"/>
      <c r="M88" s="1708"/>
      <c r="N88" s="1708"/>
      <c r="O88" s="1708"/>
      <c r="P88" s="1708"/>
      <c r="Q88" s="1708"/>
      <c r="R88" s="1708"/>
      <c r="S88" s="1708"/>
      <c r="T88" s="1708"/>
      <c r="U88" s="1708"/>
      <c r="V88" s="552"/>
      <c r="W88" s="205"/>
      <c r="X88" s="205"/>
      <c r="Y88" s="205"/>
    </row>
    <row r="89" spans="1:65" s="292" customFormat="1" ht="18.75">
      <c r="A89" s="174"/>
      <c r="B89" s="204" t="s">
        <v>116</v>
      </c>
      <c r="C89" s="552"/>
      <c r="D89" s="552"/>
      <c r="E89" s="552"/>
      <c r="F89" s="552"/>
      <c r="G89" s="552"/>
      <c r="H89" s="552"/>
      <c r="I89" s="552"/>
      <c r="J89" s="552"/>
      <c r="K89" s="552"/>
      <c r="L89" s="210"/>
      <c r="M89" s="210"/>
      <c r="N89" s="210"/>
      <c r="O89" s="210"/>
      <c r="P89" s="210"/>
      <c r="Q89" s="210"/>
      <c r="R89" s="210"/>
      <c r="S89" s="210"/>
      <c r="T89" s="210"/>
      <c r="U89" s="211"/>
      <c r="V89" s="210"/>
      <c r="W89" s="212"/>
      <c r="X89" s="212"/>
      <c r="Y89" s="212"/>
    </row>
    <row r="90" spans="1:65" s="292" customFormat="1" ht="42" customHeight="1">
      <c r="A90" s="211"/>
      <c r="B90" s="1708" t="s">
        <v>235</v>
      </c>
      <c r="C90" s="1708"/>
      <c r="D90" s="1708"/>
      <c r="E90" s="1708"/>
      <c r="F90" s="1708"/>
      <c r="G90" s="1708"/>
      <c r="H90" s="1708"/>
      <c r="I90" s="1708"/>
      <c r="J90" s="1708"/>
      <c r="K90" s="1708"/>
      <c r="L90" s="1708"/>
      <c r="M90" s="1708"/>
      <c r="N90" s="1708"/>
      <c r="O90" s="1708"/>
      <c r="P90" s="1708"/>
      <c r="Q90" s="1708"/>
      <c r="R90" s="1708"/>
      <c r="S90" s="1708"/>
      <c r="T90" s="1708"/>
      <c r="U90" s="1708"/>
      <c r="V90" s="1708"/>
      <c r="W90" s="1708"/>
      <c r="X90" s="1708"/>
      <c r="Y90" s="1708"/>
      <c r="Z90" s="1708"/>
      <c r="AA90" s="1708"/>
      <c r="AB90" s="1708"/>
      <c r="AC90" s="1708"/>
      <c r="AD90" s="1708"/>
      <c r="AE90" s="1708"/>
      <c r="AF90" s="1708"/>
      <c r="AG90" s="1708"/>
      <c r="AH90" s="1708"/>
      <c r="AI90" s="1708"/>
      <c r="AJ90" s="1708"/>
      <c r="AK90" s="1708"/>
      <c r="AL90" s="1708"/>
      <c r="AM90" s="1708"/>
      <c r="AR90" s="293"/>
      <c r="AS90" s="293"/>
      <c r="AT90" s="293"/>
      <c r="AU90" s="294"/>
      <c r="AV90" s="294"/>
      <c r="AW90" s="114"/>
      <c r="AX90" s="214"/>
      <c r="AY90" s="214"/>
      <c r="AZ90" s="215"/>
      <c r="BA90" s="216"/>
      <c r="BB90" s="117"/>
      <c r="BC90" s="117"/>
      <c r="BD90" s="117"/>
      <c r="BE90" s="216"/>
      <c r="BF90" s="295"/>
      <c r="BG90" s="295"/>
      <c r="BH90" s="295"/>
      <c r="BI90" s="295"/>
      <c r="BJ90" s="295"/>
      <c r="BK90" s="295"/>
      <c r="BL90" s="232"/>
      <c r="BM90" s="232"/>
    </row>
    <row r="91" spans="1:65" s="292" customFormat="1" ht="49.5" customHeight="1">
      <c r="A91" s="211"/>
      <c r="B91" s="1708" t="s">
        <v>362</v>
      </c>
      <c r="C91" s="1708"/>
      <c r="D91" s="1708"/>
      <c r="E91" s="1708"/>
      <c r="F91" s="1708"/>
      <c r="G91" s="1708"/>
      <c r="H91" s="1708"/>
      <c r="I91" s="1708"/>
      <c r="J91" s="1708"/>
      <c r="K91" s="1708"/>
      <c r="L91" s="1708"/>
      <c r="M91" s="1708"/>
      <c r="N91" s="1708"/>
      <c r="O91" s="1708"/>
      <c r="P91" s="1708"/>
      <c r="Q91" s="1708"/>
      <c r="R91" s="1708"/>
      <c r="S91" s="1708"/>
      <c r="T91" s="1708"/>
      <c r="U91" s="1708"/>
      <c r="V91" s="1708"/>
      <c r="W91" s="1708"/>
      <c r="X91" s="1708"/>
      <c r="Y91" s="1708"/>
      <c r="Z91" s="1708"/>
      <c r="AA91" s="1708"/>
      <c r="AB91" s="1708"/>
      <c r="AC91" s="1708"/>
      <c r="AD91" s="1708"/>
      <c r="AE91" s="1708"/>
      <c r="AF91" s="1708"/>
      <c r="AG91" s="1708"/>
      <c r="AH91" s="1708"/>
      <c r="AI91" s="1708"/>
      <c r="AJ91" s="1708"/>
      <c r="AK91" s="1708"/>
      <c r="AL91" s="1708"/>
      <c r="AM91" s="213"/>
    </row>
    <row r="92" spans="1:65" s="292" customFormat="1" ht="42.75" customHeight="1">
      <c r="A92" s="174"/>
      <c r="B92" s="1708" t="s">
        <v>363</v>
      </c>
      <c r="C92" s="1708"/>
      <c r="D92" s="1708"/>
      <c r="E92" s="1708"/>
      <c r="F92" s="1708"/>
      <c r="G92" s="1708"/>
      <c r="H92" s="1708"/>
      <c r="I92" s="1708"/>
      <c r="J92" s="1708"/>
      <c r="K92" s="1708"/>
      <c r="L92" s="1708"/>
      <c r="M92" s="1708"/>
      <c r="N92" s="1708"/>
      <c r="O92" s="1708"/>
      <c r="P92" s="1708"/>
      <c r="Q92" s="1708"/>
      <c r="R92" s="1708"/>
      <c r="S92" s="1708"/>
      <c r="T92" s="1708"/>
      <c r="U92" s="1708"/>
      <c r="V92" s="1708"/>
      <c r="W92" s="1708"/>
      <c r="X92" s="1708"/>
      <c r="Y92" s="1708"/>
      <c r="Z92" s="1708"/>
      <c r="AA92" s="1708"/>
      <c r="AB92" s="1708"/>
      <c r="AC92" s="1708"/>
      <c r="AD92" s="1708"/>
      <c r="AE92" s="1708"/>
      <c r="AF92" s="1708"/>
      <c r="AG92" s="1708"/>
      <c r="AH92" s="1708"/>
      <c r="AI92" s="1708"/>
      <c r="AJ92" s="1708"/>
      <c r="AK92" s="1708"/>
      <c r="AL92" s="1708"/>
    </row>
    <row r="93" spans="1:65" s="292" customFormat="1" ht="39" customHeight="1">
      <c r="A93" s="174"/>
      <c r="B93" s="1708" t="s">
        <v>364</v>
      </c>
      <c r="C93" s="1708"/>
      <c r="D93" s="1708"/>
      <c r="E93" s="1708"/>
      <c r="F93" s="1708"/>
      <c r="G93" s="1708"/>
      <c r="H93" s="1708"/>
      <c r="I93" s="1708"/>
      <c r="J93" s="1708"/>
      <c r="K93" s="1708"/>
      <c r="L93" s="1708"/>
      <c r="M93" s="1708"/>
      <c r="N93" s="1708"/>
      <c r="O93" s="1708"/>
      <c r="P93" s="1708"/>
      <c r="Q93" s="1708"/>
      <c r="R93" s="1708"/>
      <c r="S93" s="1708"/>
      <c r="T93" s="1708"/>
      <c r="U93" s="1708"/>
      <c r="V93" s="1708"/>
      <c r="W93" s="1708"/>
      <c r="X93" s="1708"/>
      <c r="Y93" s="1708"/>
      <c r="Z93" s="1708"/>
      <c r="AA93" s="1708"/>
      <c r="AB93" s="1708"/>
      <c r="AC93" s="1708"/>
      <c r="AD93" s="1708"/>
      <c r="AE93" s="1708"/>
      <c r="AF93" s="1708"/>
      <c r="AG93" s="1708"/>
      <c r="AH93" s="1708"/>
      <c r="AI93" s="1708"/>
      <c r="AJ93" s="1708"/>
      <c r="AK93" s="1708"/>
      <c r="AL93" s="1708"/>
    </row>
    <row r="94" spans="1:65" ht="18.75" customHeight="1">
      <c r="A94" s="110"/>
      <c r="B94" s="487" t="s">
        <v>365</v>
      </c>
      <c r="C94" s="111"/>
      <c r="D94" s="112"/>
      <c r="E94" s="113"/>
      <c r="F94" s="113"/>
      <c r="G94" s="111"/>
      <c r="H94" s="111"/>
      <c r="I94" s="111"/>
      <c r="J94" s="111"/>
      <c r="K94" s="111"/>
      <c r="L94" s="114"/>
      <c r="M94" s="115"/>
      <c r="N94" s="115"/>
      <c r="O94" s="116"/>
      <c r="P94" s="116"/>
      <c r="Q94" s="114"/>
      <c r="R94" s="114"/>
      <c r="S94" s="114"/>
      <c r="T94" s="116"/>
      <c r="U94" s="125"/>
      <c r="V94" s="116"/>
      <c r="W94" s="117"/>
      <c r="X94" s="117"/>
      <c r="Y94" s="117"/>
    </row>
    <row r="95" spans="1:65" ht="18.75" customHeight="1">
      <c r="A95" s="110"/>
      <c r="B95" s="488" t="s">
        <v>366</v>
      </c>
      <c r="C95" s="111"/>
      <c r="D95" s="112"/>
      <c r="E95" s="113"/>
      <c r="F95" s="113"/>
      <c r="G95" s="111"/>
      <c r="H95" s="111"/>
      <c r="I95" s="111"/>
      <c r="J95" s="111"/>
      <c r="K95" s="111"/>
      <c r="L95" s="114"/>
      <c r="M95" s="115"/>
      <c r="N95" s="115"/>
      <c r="O95" s="116"/>
      <c r="P95" s="116"/>
      <c r="Q95" s="114"/>
      <c r="R95" s="114"/>
      <c r="S95" s="114"/>
      <c r="T95" s="116"/>
      <c r="U95" s="34"/>
      <c r="V95" s="116"/>
      <c r="W95" s="117"/>
      <c r="X95" s="117"/>
      <c r="Y95" s="117"/>
    </row>
    <row r="96" spans="1:65" ht="18">
      <c r="A96" s="110"/>
      <c r="B96" s="487" t="s">
        <v>236</v>
      </c>
      <c r="C96" s="111"/>
      <c r="D96" s="112"/>
      <c r="E96" s="113"/>
      <c r="F96" s="113"/>
      <c r="G96" s="111"/>
      <c r="H96" s="111"/>
      <c r="I96" s="111"/>
      <c r="J96" s="111"/>
      <c r="K96" s="111"/>
      <c r="L96" s="114"/>
      <c r="M96" s="115"/>
      <c r="N96" s="115"/>
      <c r="O96" s="116"/>
      <c r="P96" s="116"/>
      <c r="Q96" s="114"/>
      <c r="R96" s="114"/>
      <c r="S96" s="114"/>
      <c r="T96" s="116"/>
      <c r="U96" s="2"/>
      <c r="V96" s="116"/>
      <c r="W96" s="117"/>
      <c r="X96" s="117"/>
      <c r="Y96" s="117"/>
    </row>
    <row r="97" spans="1:41" ht="18">
      <c r="A97" s="118">
        <v>4</v>
      </c>
      <c r="B97" s="487" t="s">
        <v>237</v>
      </c>
      <c r="C97" s="119"/>
      <c r="D97" s="118"/>
      <c r="E97" s="120"/>
      <c r="F97" s="120"/>
      <c r="G97" s="119"/>
      <c r="H97" s="119"/>
      <c r="I97" s="119"/>
      <c r="J97" s="119"/>
      <c r="K97" s="119"/>
      <c r="L97" s="121"/>
      <c r="M97" s="122"/>
      <c r="N97" s="122"/>
      <c r="O97" s="123"/>
      <c r="P97" s="123"/>
      <c r="Q97" s="121"/>
      <c r="R97" s="121"/>
      <c r="S97" s="121"/>
      <c r="T97" s="123"/>
      <c r="U97" s="34"/>
      <c r="V97" s="123"/>
      <c r="W97" s="118"/>
      <c r="X97" s="118"/>
      <c r="Y97" s="118"/>
    </row>
    <row r="98" spans="1:41" ht="18">
      <c r="A98" s="13"/>
      <c r="B98" s="489" t="s">
        <v>238</v>
      </c>
      <c r="C98" s="111"/>
      <c r="D98" s="112"/>
      <c r="E98" s="113"/>
      <c r="F98" s="113"/>
      <c r="G98" s="111"/>
      <c r="H98" s="111"/>
      <c r="I98" s="111"/>
      <c r="J98" s="111"/>
      <c r="K98" s="111"/>
      <c r="L98" s="114"/>
      <c r="M98" s="293"/>
      <c r="N98" s="293"/>
      <c r="O98" s="293"/>
      <c r="P98" s="294"/>
      <c r="Q98" s="294"/>
      <c r="R98" s="114"/>
      <c r="S98" s="214"/>
      <c r="T98" s="214"/>
      <c r="U98" s="215"/>
      <c r="V98" s="216"/>
      <c r="W98" s="117"/>
      <c r="X98" s="117"/>
      <c r="Y98" s="117"/>
      <c r="Z98" s="216"/>
      <c r="AA98" s="295"/>
      <c r="AB98" s="295"/>
      <c r="AC98" s="295"/>
      <c r="AD98" s="295"/>
      <c r="AE98" s="295"/>
      <c r="AF98" s="295"/>
    </row>
    <row r="99" spans="1:41">
      <c r="A99" s="2"/>
      <c r="B99" s="483"/>
      <c r="C99" s="483"/>
      <c r="D99" s="483"/>
      <c r="E99" s="483"/>
      <c r="F99" s="483"/>
      <c r="G99" s="483"/>
      <c r="H99" s="483"/>
      <c r="I99" s="483"/>
      <c r="J99" s="483"/>
      <c r="K99" s="483"/>
      <c r="L99" s="217"/>
      <c r="M99" s="217"/>
      <c r="N99" s="217"/>
      <c r="O99" s="217"/>
      <c r="P99" s="217"/>
      <c r="Q99" s="217"/>
      <c r="R99" s="217"/>
      <c r="S99" s="217"/>
      <c r="T99" s="217"/>
      <c r="U99" s="218"/>
      <c r="V99" s="217"/>
      <c r="W99" s="117"/>
      <c r="X99" s="117"/>
      <c r="Y99" s="117"/>
      <c r="Z99" s="295"/>
      <c r="AA99" s="295"/>
      <c r="AB99" s="295"/>
      <c r="AC99" s="295"/>
      <c r="AD99" s="295"/>
      <c r="AE99" s="295"/>
      <c r="AF99" s="295"/>
    </row>
    <row r="100" spans="1:41" ht="18">
      <c r="A100" s="2"/>
      <c r="B100" s="1708" t="s">
        <v>239</v>
      </c>
      <c r="C100" s="1708"/>
      <c r="D100" s="1708"/>
      <c r="E100" s="1708"/>
      <c r="F100" s="1708"/>
      <c r="G100" s="1708"/>
      <c r="H100" s="1708"/>
      <c r="I100" s="1708"/>
      <c r="J100" s="1708"/>
      <c r="K100" s="1708"/>
      <c r="L100" s="1708"/>
      <c r="M100" s="1708"/>
      <c r="N100" s="1708"/>
      <c r="O100" s="1708"/>
      <c r="P100" s="1708"/>
      <c r="Q100" s="1708"/>
      <c r="R100" s="1708"/>
      <c r="S100" s="1708"/>
      <c r="T100" s="1708"/>
      <c r="U100" s="1708"/>
      <c r="V100" s="1708"/>
      <c r="W100" s="1708"/>
      <c r="X100" s="1708"/>
      <c r="Y100" s="1708"/>
      <c r="Z100" s="1708"/>
      <c r="AA100" s="1708"/>
      <c r="AB100" s="1708"/>
      <c r="AC100" s="1708"/>
      <c r="AD100" s="1708"/>
      <c r="AE100" s="1708"/>
      <c r="AF100" s="1708"/>
      <c r="AG100" s="124"/>
      <c r="AH100" s="124"/>
      <c r="AI100" s="124"/>
      <c r="AJ100" s="124"/>
      <c r="AK100" s="119"/>
      <c r="AL100" s="124"/>
      <c r="AM100" s="119"/>
      <c r="AN100" s="124"/>
      <c r="AO100" s="3"/>
    </row>
    <row r="101" spans="1:41">
      <c r="AK101" s="2"/>
      <c r="AM101" s="2"/>
      <c r="AO101" s="2"/>
    </row>
    <row r="102" spans="1:41">
      <c r="AK102" s="2"/>
      <c r="AM102" s="2"/>
      <c r="AO102" s="2"/>
    </row>
    <row r="103" spans="1:41">
      <c r="AK103" s="2"/>
      <c r="AM103" s="2"/>
      <c r="AO103" s="2"/>
    </row>
    <row r="104" spans="1:41">
      <c r="AK104" s="2"/>
      <c r="AM104" s="2"/>
      <c r="AO104" s="2"/>
    </row>
    <row r="105" spans="1:41">
      <c r="AK105" s="2"/>
      <c r="AM105" s="2"/>
      <c r="AO105" s="2"/>
    </row>
    <row r="106" spans="1:41">
      <c r="AK106" s="125"/>
      <c r="AM106" s="125"/>
      <c r="AO106" s="125"/>
    </row>
    <row r="107" spans="1:41">
      <c r="AK107" s="125"/>
      <c r="AM107" s="125"/>
      <c r="AO107" s="125"/>
    </row>
  </sheetData>
  <mergeCells count="36">
    <mergeCell ref="AD10:AN13"/>
    <mergeCell ref="I11:K11"/>
    <mergeCell ref="L11:M11"/>
    <mergeCell ref="N11:O11"/>
    <mergeCell ref="I12:K12"/>
    <mergeCell ref="L12:M12"/>
    <mergeCell ref="N12:O12"/>
    <mergeCell ref="P12:T13"/>
    <mergeCell ref="U12:AC13"/>
    <mergeCell ref="I13:K13"/>
    <mergeCell ref="L13:M13"/>
    <mergeCell ref="N13:O13"/>
    <mergeCell ref="B4:AC5"/>
    <mergeCell ref="B7:AC8"/>
    <mergeCell ref="H10:O10"/>
    <mergeCell ref="P10:T11"/>
    <mergeCell ref="U10:AC11"/>
    <mergeCell ref="B19:B20"/>
    <mergeCell ref="K19:L19"/>
    <mergeCell ref="B91:AL91"/>
    <mergeCell ref="A14:AN14"/>
    <mergeCell ref="A19:A20"/>
    <mergeCell ref="C19:D20"/>
    <mergeCell ref="E19:E20"/>
    <mergeCell ref="F19:F20"/>
    <mergeCell ref="G19:G20"/>
    <mergeCell ref="H19:H20"/>
    <mergeCell ref="I19:I20"/>
    <mergeCell ref="J19:J20"/>
    <mergeCell ref="M19:N19"/>
    <mergeCell ref="B92:AL92"/>
    <mergeCell ref="B93:AL93"/>
    <mergeCell ref="B100:AF100"/>
    <mergeCell ref="B87:AL87"/>
    <mergeCell ref="B88:U88"/>
    <mergeCell ref="B90:AM90"/>
  </mergeCells>
  <conditionalFormatting sqref="M21:M70 K21:K70">
    <cfRule type="expression" dxfId="158" priority="23">
      <formula>IF(NOT(ISBLANK(K21)),IF(ISNUMBER(K21),IF(INT(K21/10000)&gt;23,TRUE,IF(INT(MOD(K21,10000)/100)&gt;59.99,TRUE,IF(MOD(K21,100)&gt;59.99,TRUE,FALSE))),TRUE))</formula>
    </cfRule>
  </conditionalFormatting>
  <conditionalFormatting sqref="AF73:AF74 AH73:AH74 AJ73:AJ74 L73:L74 N73:N74 R73:R74 P73:P74 T73:T74 V73:V74 X73:X74 Z73:Z74 AB73:AB74 AD73:AD74 L21:L70">
    <cfRule type="expression" dxfId="157" priority="20">
      <formula>IF(L21="л","ЛОЖЬ",IF(L21="в","ЛОЖЬ",IF(ISBLANK(L21),"ЛОЖЬ",TRUE)))</formula>
    </cfRule>
    <cfRule type="expression" dxfId="156" priority="21">
      <formula>IF(L21="в",TRUE,)</formula>
    </cfRule>
    <cfRule type="expression" dxfId="155" priority="22">
      <formula>IF(L21="л",TRUE,)</formula>
    </cfRule>
  </conditionalFormatting>
  <conditionalFormatting sqref="M21:M70">
    <cfRule type="expression" dxfId="154" priority="13">
      <formula>IF(ISBLANK(M21),FALSE,IF($I21=0,TRUE))</formula>
    </cfRule>
  </conditionalFormatting>
  <conditionalFormatting sqref="I21:I70">
    <cfRule type="expression" dxfId="153" priority="11">
      <formula>IF(I21&gt;$G$11,TRUE)</formula>
    </cfRule>
  </conditionalFormatting>
  <conditionalFormatting sqref="J21:J70">
    <cfRule type="expression" dxfId="152" priority="10">
      <formula>IF(J21&gt;($G$11+$G$12-I21),IF((J21+I21)&gt;($G$11+$G$12),TRUE,))</formula>
    </cfRule>
  </conditionalFormatting>
  <conditionalFormatting sqref="I74">
    <cfRule type="expression" dxfId="151" priority="9">
      <formula>IF($I$74&gt;$E$12,TRUE)</formula>
    </cfRule>
  </conditionalFormatting>
  <conditionalFormatting sqref="I73">
    <cfRule type="expression" dxfId="150" priority="8">
      <formula>IF($I$73&gt;$E$11,TRUE)</formula>
    </cfRule>
  </conditionalFormatting>
  <conditionalFormatting sqref="E21:E70">
    <cfRule type="expression" dxfId="149" priority="7">
      <formula>IF(ISBLANK(E21),FALSE,IF(IF(ISNUMBER($E$13),IF(YEAR(TODAY())-$E$13&lt;=E21,FALSE,TRUE),FALSE),TRUE,IF(ISNUMBER($G$13),IF(YEAR(TODAY())-$G$13&lt;E21,TRUE,FALSE),FALSE)))</formula>
    </cfRule>
  </conditionalFormatting>
  <conditionalFormatting sqref="G21:G70">
    <cfRule type="expression" dxfId="148" priority="5">
      <formula>IF(G21="м",FALSE,IF(G21="ж",FALSE,TRUE))</formula>
    </cfRule>
  </conditionalFormatting>
  <conditionalFormatting sqref="N21:N70">
    <cfRule type="expression" dxfId="147" priority="4">
      <formula>IF(ISBLANK(M21),IF(ISBLANK(N21),FALSE,TRUE),IF(ISNUMBER(N21),FALSE,TRUE))</formula>
    </cfRule>
  </conditionalFormatting>
  <conditionalFormatting sqref="K21:K70">
    <cfRule type="expression" dxfId="146" priority="2">
      <formula>IF(ISNUMBER(K21),IF(((YEAR(TODAY()))-14)&gt;=E21,FALSE,TRUE))</formula>
    </cfRule>
  </conditionalFormatting>
  <conditionalFormatting sqref="T21:T30">
    <cfRule type="expression" dxfId="145" priority="661">
      <formula>IF(#REF!&lt;&gt;$H$11,IF(#REF!&lt;&gt;$H$12,IF(#REF!&lt;&gt;$H$13,IF(#REF!&lt;&gt;$I$11,IF(#REF!&lt;&gt;$I$12,IF(#REF!&lt;&gt;$I$13,IF(#REF!&lt;&gt;$L$11,IF(#REF!&lt;&gt;$L$12,IF(#REF!&lt;&gt;$L$13,IF(#REF!&lt;&gt;$N$78,IF(#REF!&lt;&gt;$N$79,TRUE)))))))))))</formula>
    </cfRule>
  </conditionalFormatting>
  <conditionalFormatting sqref="B21:B70">
    <cfRule type="expression" dxfId="144" priority="664">
      <formula>IF(#REF!&lt;&gt;$H$11,IF(#REF!&lt;&gt;$H$12,IF(#REF!&lt;&gt;$H$13,IF(#REF!&lt;&gt;$I$11,IF(B21&lt;&gt;$I$12,IF(#REF!&lt;&gt;$I$13,IF(#REF!&lt;&gt;$L$11,IF(#REF!&lt;&gt;$L$12,IF(#REF!&lt;&gt;$L$13,IF(#REF!&lt;&gt;$N$11,IF(#REF!&lt;&gt;$N$12,TRUE)))))))))))</formula>
    </cfRule>
  </conditionalFormatting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Лист7">
    <tabColor theme="7" tint="-0.249977111117893"/>
  </sheetPr>
  <dimension ref="A1:K76"/>
  <sheetViews>
    <sheetView topLeftCell="A44" workbookViewId="0">
      <selection activeCell="D9" sqref="D9:D58"/>
    </sheetView>
  </sheetViews>
  <sheetFormatPr defaultRowHeight="15"/>
  <cols>
    <col min="1" max="1" width="3.8984375" customWidth="1"/>
    <col min="2" max="3" width="12.375" customWidth="1"/>
    <col min="4" max="4" width="15.46875" customWidth="1"/>
    <col min="5" max="5" width="14.125" customWidth="1"/>
    <col min="6" max="6" width="16.94921875" customWidth="1"/>
    <col min="7" max="7" width="9.953125" customWidth="1"/>
    <col min="8" max="8" width="11.02734375" customWidth="1"/>
    <col min="9" max="9" width="9.55078125" customWidth="1"/>
    <col min="10" max="10" width="9.953125" customWidth="1"/>
    <col min="11" max="11" width="23.9453125" customWidth="1"/>
    <col min="12" max="36" width="1.4765625" customWidth="1"/>
  </cols>
  <sheetData>
    <row r="1" spans="1:11">
      <c r="H1" s="1773" t="s">
        <v>351</v>
      </c>
      <c r="I1" s="1773"/>
      <c r="J1" s="1773"/>
      <c r="K1" s="1773"/>
    </row>
    <row r="2" spans="1:11" ht="21.75" customHeight="1">
      <c r="H2" s="1773"/>
      <c r="I2" s="1773"/>
      <c r="J2" s="1773"/>
      <c r="K2" s="1773"/>
    </row>
    <row r="3" spans="1:11" ht="31.5">
      <c r="A3" s="1774" t="s">
        <v>349</v>
      </c>
      <c r="B3" s="1774"/>
      <c r="C3" s="1774"/>
      <c r="D3" s="1774"/>
      <c r="E3" s="1774"/>
      <c r="F3" s="1774"/>
      <c r="G3" s="1774"/>
      <c r="H3" s="1774"/>
      <c r="I3" s="1774"/>
      <c r="J3" s="1774"/>
      <c r="K3" s="1774"/>
    </row>
    <row r="4" spans="1:11" ht="22.5" customHeight="1">
      <c r="B4" s="779"/>
      <c r="C4" s="424" t="s">
        <v>341</v>
      </c>
      <c r="D4" s="1775" t="str">
        <f>Техническая_марафон!E15</f>
        <v>Полное Название команды, город (край, область и пр.)</v>
      </c>
      <c r="E4" s="1775"/>
      <c r="F4" s="1775"/>
      <c r="G4" s="1775"/>
      <c r="H4" s="1775"/>
      <c r="I4" s="1775"/>
      <c r="J4" s="1775"/>
      <c r="K4" s="1775"/>
    </row>
    <row r="5" spans="1:11" ht="36.75" customHeight="1">
      <c r="C5" s="838" t="s">
        <v>108</v>
      </c>
      <c r="D5" s="1776" t="str">
        <f>Техническая_марафон!G17</f>
        <v>Название Соревнований по подводному спорту (1460008511Я) (плавание в ластах)</v>
      </c>
      <c r="E5" s="1777"/>
      <c r="F5" s="1777"/>
      <c r="G5" s="1777"/>
      <c r="H5" s="1777"/>
      <c r="I5" s="1777"/>
      <c r="J5" s="1777"/>
      <c r="K5" s="1777"/>
    </row>
    <row r="6" spans="1:11" ht="26.25" customHeight="1">
      <c r="C6" s="838" t="s">
        <v>1057</v>
      </c>
      <c r="D6" s="1778" t="str">
        <f>Техническая_марафон!U10</f>
        <v>г. Город, бассейн "ААА", 50 м</v>
      </c>
      <c r="E6" s="1778"/>
      <c r="F6" s="1778"/>
      <c r="G6" s="1778"/>
      <c r="H6" s="1778"/>
      <c r="I6" s="1778"/>
      <c r="J6" s="456" t="s">
        <v>346</v>
      </c>
      <c r="K6" s="1055" t="str">
        <f>Техническая_марафон!U12</f>
        <v>02-06 февраля 2015 г.</v>
      </c>
    </row>
    <row r="7" spans="1:11" ht="12.75" customHeight="1">
      <c r="A7" s="426"/>
      <c r="B7" s="426"/>
      <c r="C7" s="426"/>
      <c r="D7" s="429"/>
      <c r="E7" s="427"/>
      <c r="F7" s="427"/>
      <c r="G7" s="427"/>
      <c r="H7" s="422"/>
      <c r="I7" s="422"/>
      <c r="J7" s="427"/>
      <c r="K7" s="427"/>
    </row>
    <row r="8" spans="1:11" ht="53.25" customHeight="1">
      <c r="A8" s="449" t="s">
        <v>0</v>
      </c>
      <c r="B8" s="1779" t="s">
        <v>348</v>
      </c>
      <c r="C8" s="1779"/>
      <c r="D8" s="1779"/>
      <c r="E8" s="451" t="s">
        <v>339</v>
      </c>
      <c r="F8" s="778" t="s">
        <v>342</v>
      </c>
      <c r="G8" s="451" t="s">
        <v>985</v>
      </c>
      <c r="H8" s="759" t="s">
        <v>984</v>
      </c>
      <c r="I8" s="1780" t="s">
        <v>7</v>
      </c>
      <c r="J8" s="1781"/>
      <c r="K8" s="452" t="s">
        <v>343</v>
      </c>
    </row>
    <row r="9" spans="1:11" s="423" customFormat="1" ht="27" customHeight="1">
      <c r="A9" s="778">
        <v>1</v>
      </c>
      <c r="B9" s="454" t="str">
        <f>Техническая_марафон!C21</f>
        <v>Девушки</v>
      </c>
      <c r="C9" s="454"/>
      <c r="D9" s="455" t="str">
        <f>Техническая_марафон!D21</f>
        <v xml:space="preserve"> </v>
      </c>
      <c r="E9" s="1051">
        <f>Техническая_марафон!E21</f>
        <v>36335</v>
      </c>
      <c r="F9" s="452" t="str">
        <f>IF(Техническая_марафон!G21="Ж","спортсменка",IF(Техническая_марафон!G21="М","спортсмен","не понятно кто"))</f>
        <v>спортсменка</v>
      </c>
      <c r="G9" s="452"/>
      <c r="H9" s="452" t="str">
        <f>Техническая_марафон!B21</f>
        <v>I</v>
      </c>
      <c r="I9" s="1769" t="str">
        <f>Техническая_марафон!H21</f>
        <v>Фамилия_1 Имя Отчество</v>
      </c>
      <c r="J9" s="1770"/>
      <c r="K9" s="453"/>
    </row>
    <row r="10" spans="1:11" s="423" customFormat="1" ht="27" customHeight="1">
      <c r="A10" s="778">
        <v>2</v>
      </c>
      <c r="B10" s="454" t="str">
        <f>Техническая_марафон!C22</f>
        <v>Девушки</v>
      </c>
      <c r="C10" s="454"/>
      <c r="D10" s="455" t="str">
        <f>Техническая_марафон!D22</f>
        <v xml:space="preserve"> </v>
      </c>
      <c r="E10" s="1051">
        <f>Техническая_марафон!E22</f>
        <v>0</v>
      </c>
      <c r="F10" s="452" t="str">
        <f>IF(Техническая_марафон!G22="Ж","спортсменка",IF(Техническая_марафон!G22="М","спортсмен","не понятно кто"))</f>
        <v>спортсменка</v>
      </c>
      <c r="G10" s="452"/>
      <c r="H10" s="452" t="str">
        <f>Техническая_марафон!B22</f>
        <v>I</v>
      </c>
      <c r="I10" s="1769" t="str">
        <f>Техническая_марафон!H22</f>
        <v>Фамилия_1 Имя Отчество</v>
      </c>
      <c r="J10" s="1770"/>
      <c r="K10" s="453"/>
    </row>
    <row r="11" spans="1:11" s="423" customFormat="1" ht="27" customHeight="1">
      <c r="A11" s="778">
        <v>3</v>
      </c>
      <c r="B11" s="454" t="str">
        <f>Техническая_марафон!C23</f>
        <v>Девушки</v>
      </c>
      <c r="C11" s="454"/>
      <c r="D11" s="455" t="str">
        <f>Техническая_марафон!D23</f>
        <v xml:space="preserve"> </v>
      </c>
      <c r="E11" s="1051">
        <f>Техническая_марафон!E23</f>
        <v>0</v>
      </c>
      <c r="F11" s="452" t="str">
        <f>IF(Техническая_марафон!G23="Ж","спортсменка",IF(Техническая_марафон!G23="М","спортсмен","не понятно кто"))</f>
        <v>спортсменка</v>
      </c>
      <c r="G11" s="452"/>
      <c r="H11" s="452" t="str">
        <f>Техническая_марафон!B23</f>
        <v>ЗМС</v>
      </c>
      <c r="I11" s="1769" t="str">
        <f>Техническая_марафон!H23</f>
        <v>Фамилия_1 Имя Отчество</v>
      </c>
      <c r="J11" s="1770"/>
      <c r="K11" s="453"/>
    </row>
    <row r="12" spans="1:11" s="423" customFormat="1" ht="27" customHeight="1">
      <c r="A12" s="778">
        <v>4</v>
      </c>
      <c r="B12" s="454" t="str">
        <f>Техническая_марафон!C24</f>
        <v>Девушки</v>
      </c>
      <c r="C12" s="454"/>
      <c r="D12" s="455" t="str">
        <f>Техническая_марафон!D24</f>
        <v xml:space="preserve"> </v>
      </c>
      <c r="E12" s="1051">
        <f>Техническая_марафон!E24</f>
        <v>0</v>
      </c>
      <c r="F12" s="452" t="str">
        <f>IF(Техническая_марафон!G24="Ж","спортсменка",IF(Техническая_марафон!G24="М","спортсмен","не понятно кто"))</f>
        <v>спортсменка</v>
      </c>
      <c r="G12" s="452"/>
      <c r="H12" s="452" t="str">
        <f>Техническая_марафон!B24</f>
        <v>МСМК</v>
      </c>
      <c r="I12" s="1769" t="str">
        <f>Техническая_марафон!H24</f>
        <v>Фамилия_1 Имя Отчество</v>
      </c>
      <c r="J12" s="1770"/>
      <c r="K12" s="453"/>
    </row>
    <row r="13" spans="1:11" s="423" customFormat="1" ht="27" customHeight="1">
      <c r="A13" s="778">
        <v>5</v>
      </c>
      <c r="B13" s="454" t="str">
        <f>Техническая_марафон!C25</f>
        <v>Девушки</v>
      </c>
      <c r="C13" s="454"/>
      <c r="D13" s="455" t="str">
        <f>Техническая_марафон!D25</f>
        <v xml:space="preserve"> </v>
      </c>
      <c r="E13" s="1051">
        <f>Техническая_марафон!E25</f>
        <v>0</v>
      </c>
      <c r="F13" s="452" t="str">
        <f>IF(Техническая_марафон!G25="Ж","спортсменка",IF(Техническая_марафон!G25="М","спортсмен","не понятно кто"))</f>
        <v>спортсменка</v>
      </c>
      <c r="G13" s="452"/>
      <c r="H13" s="452" t="str">
        <f>Техническая_марафон!B25</f>
        <v>МС</v>
      </c>
      <c r="I13" s="1769" t="str">
        <f>Техническая_марафон!H25</f>
        <v>Фамилия_1 Имя Отчество</v>
      </c>
      <c r="J13" s="1770"/>
      <c r="K13" s="453"/>
    </row>
    <row r="14" spans="1:11" s="423" customFormat="1" ht="27" customHeight="1">
      <c r="A14" s="778">
        <v>6</v>
      </c>
      <c r="B14" s="454" t="str">
        <f>Техническая_марафон!C26</f>
        <v>Девушки</v>
      </c>
      <c r="C14" s="454"/>
      <c r="D14" s="455" t="str">
        <f>Техническая_марафон!D26</f>
        <v xml:space="preserve"> </v>
      </c>
      <c r="E14" s="1051">
        <f>Техническая_марафон!E26</f>
        <v>0</v>
      </c>
      <c r="F14" s="452" t="str">
        <f>IF(Техническая_марафон!G26="Ж","спортсменка",IF(Техническая_марафон!G26="М","спортсмен","не понятно кто"))</f>
        <v>спортсменка</v>
      </c>
      <c r="G14" s="452"/>
      <c r="H14" s="452" t="str">
        <f>Техническая_марафон!B26</f>
        <v>КМС</v>
      </c>
      <c r="I14" s="1769" t="str">
        <f>Техническая_марафон!H26</f>
        <v>Фамилия_1 Имя Отчество</v>
      </c>
      <c r="J14" s="1770"/>
      <c r="K14" s="453"/>
    </row>
    <row r="15" spans="1:11" s="423" customFormat="1" ht="27" customHeight="1">
      <c r="A15" s="778">
        <v>7</v>
      </c>
      <c r="B15" s="454" t="str">
        <f>Техническая_марафон!C27</f>
        <v>Девушки</v>
      </c>
      <c r="C15" s="454"/>
      <c r="D15" s="455" t="str">
        <f>Техническая_марафон!D27</f>
        <v xml:space="preserve"> </v>
      </c>
      <c r="E15" s="1051">
        <f>Техническая_марафон!E27</f>
        <v>0</v>
      </c>
      <c r="F15" s="452" t="str">
        <f>IF(Техническая_марафон!G27="Ж","спортсменка",IF(Техническая_марафон!G27="М","спортсмен","не понятно кто"))</f>
        <v>спортсменка</v>
      </c>
      <c r="G15" s="452"/>
      <c r="H15" s="452" t="str">
        <f>Техническая_марафон!B27</f>
        <v>I</v>
      </c>
      <c r="I15" s="1769" t="str">
        <f>Техническая_марафон!H27</f>
        <v>Фамилия_1 Имя Отчество</v>
      </c>
      <c r="J15" s="1770"/>
      <c r="K15" s="453"/>
    </row>
    <row r="16" spans="1:11" s="423" customFormat="1" ht="27" customHeight="1">
      <c r="A16" s="778">
        <v>8</v>
      </c>
      <c r="B16" s="454" t="str">
        <f>Техническая_марафон!C28</f>
        <v>Девушки</v>
      </c>
      <c r="C16" s="454"/>
      <c r="D16" s="455" t="str">
        <f>Техническая_марафон!D28</f>
        <v xml:space="preserve"> </v>
      </c>
      <c r="E16" s="1051">
        <f>Техническая_марафон!E28</f>
        <v>0</v>
      </c>
      <c r="F16" s="452" t="str">
        <f>IF(Техническая_марафон!G28="Ж","спортсменка",IF(Техническая_марафон!G28="М","спортсмен","не понятно кто"))</f>
        <v>спортсменка</v>
      </c>
      <c r="G16" s="452"/>
      <c r="H16" s="452" t="str">
        <f>Техническая_марафон!B28</f>
        <v>I</v>
      </c>
      <c r="I16" s="1769" t="str">
        <f>Техническая_марафон!H28</f>
        <v>Фамилия_1 Имя Отчество</v>
      </c>
      <c r="J16" s="1770"/>
      <c r="K16" s="453"/>
    </row>
    <row r="17" spans="1:11" s="423" customFormat="1" ht="27" customHeight="1">
      <c r="A17" s="778">
        <v>9</v>
      </c>
      <c r="B17" s="454" t="str">
        <f>Техническая_марафон!C29</f>
        <v>Девушки</v>
      </c>
      <c r="C17" s="454"/>
      <c r="D17" s="455" t="str">
        <f>Техническая_марафон!D29</f>
        <v xml:space="preserve"> </v>
      </c>
      <c r="E17" s="1051">
        <f>Техническая_марафон!E29</f>
        <v>0</v>
      </c>
      <c r="F17" s="452" t="str">
        <f>IF(Техническая_марафон!G29="Ж","спортсменка",IF(Техническая_марафон!G29="М","спортсмен","не понятно кто"))</f>
        <v>спортсменка</v>
      </c>
      <c r="G17" s="452"/>
      <c r="H17" s="452" t="str">
        <f>Техническая_марафон!B29</f>
        <v>III</v>
      </c>
      <c r="I17" s="1769" t="str">
        <f>Техническая_марафон!H29</f>
        <v>Фамилия_1 Имя Отчество</v>
      </c>
      <c r="J17" s="1770"/>
      <c r="K17" s="453"/>
    </row>
    <row r="18" spans="1:11" s="423" customFormat="1" ht="27" customHeight="1">
      <c r="A18" s="778">
        <v>10</v>
      </c>
      <c r="B18" s="454" t="str">
        <f>Техническая_марафон!C30</f>
        <v>Девушки</v>
      </c>
      <c r="C18" s="454"/>
      <c r="D18" s="455" t="str">
        <f>Техническая_марафон!D30</f>
        <v xml:space="preserve"> </v>
      </c>
      <c r="E18" s="1051">
        <f>Техническая_марафон!E30</f>
        <v>0</v>
      </c>
      <c r="F18" s="452" t="str">
        <f>IF(Техническая_марафон!G30="Ж","спортсменка",IF(Техническая_марафон!G30="М","спортсмен","не понятно кто"))</f>
        <v>спортсменка</v>
      </c>
      <c r="G18" s="452"/>
      <c r="H18" s="452" t="str">
        <f>Техническая_марафон!B30</f>
        <v>I</v>
      </c>
      <c r="I18" s="1769" t="str">
        <f>Техническая_марафон!H30</f>
        <v>Фамилия_1 Имя Отчество</v>
      </c>
      <c r="J18" s="1770"/>
      <c r="K18" s="453"/>
    </row>
    <row r="19" spans="1:11" s="423" customFormat="1" ht="27" customHeight="1">
      <c r="A19" s="778">
        <v>11</v>
      </c>
      <c r="B19" s="454" t="str">
        <f>Техническая_марафон!C31</f>
        <v>Девушки</v>
      </c>
      <c r="C19" s="454"/>
      <c r="D19" s="455" t="str">
        <f>Техническая_марафон!D31</f>
        <v xml:space="preserve"> </v>
      </c>
      <c r="E19" s="1051">
        <f>Техническая_марафон!E31</f>
        <v>0</v>
      </c>
      <c r="F19" s="452" t="str">
        <f>IF(Техническая_марафон!G31="Ж","спортсменка",IF(Техническая_марафон!G31="М","спортсмен","не понятно кто"))</f>
        <v>спортсменка</v>
      </c>
      <c r="G19" s="452"/>
      <c r="H19" s="452" t="str">
        <f>Техническая_марафон!B31</f>
        <v>I юн</v>
      </c>
      <c r="I19" s="1769" t="str">
        <f>Техническая_марафон!H31</f>
        <v>Фамилия_1 Имя Отчество</v>
      </c>
      <c r="J19" s="1770"/>
      <c r="K19" s="453"/>
    </row>
    <row r="20" spans="1:11" s="423" customFormat="1" ht="27" customHeight="1">
      <c r="A20" s="778">
        <v>12</v>
      </c>
      <c r="B20" s="454" t="str">
        <f>Техническая_марафон!C32</f>
        <v>Девушки</v>
      </c>
      <c r="C20" s="454"/>
      <c r="D20" s="455" t="str">
        <f>Техническая_марафон!D32</f>
        <v xml:space="preserve"> </v>
      </c>
      <c r="E20" s="1051">
        <f>Техническая_марафон!E32</f>
        <v>0</v>
      </c>
      <c r="F20" s="452" t="str">
        <f>IF(Техническая_марафон!G32="Ж","спортсменка",IF(Техническая_марафон!G32="М","спортсмен","не понятно кто"))</f>
        <v>спортсменка</v>
      </c>
      <c r="G20" s="452"/>
      <c r="H20" s="452" t="str">
        <f>Техническая_марафон!B32</f>
        <v>КМС</v>
      </c>
      <c r="I20" s="1769" t="str">
        <f>Техническая_марафон!H32</f>
        <v>Фамилия_1 Имя Отчество</v>
      </c>
      <c r="J20" s="1770"/>
      <c r="K20" s="453"/>
    </row>
    <row r="21" spans="1:11" s="423" customFormat="1" ht="27" customHeight="1">
      <c r="A21" s="778">
        <v>13</v>
      </c>
      <c r="B21" s="454" t="str">
        <f>Техническая_марафон!C33</f>
        <v>Девушки</v>
      </c>
      <c r="C21" s="454"/>
      <c r="D21" s="455" t="str">
        <f>Техническая_марафон!D33</f>
        <v xml:space="preserve"> </v>
      </c>
      <c r="E21" s="1051">
        <f>Техническая_марафон!E33</f>
        <v>0</v>
      </c>
      <c r="F21" s="452" t="str">
        <f>IF(Техническая_марафон!G33="Ж","спортсменка",IF(Техническая_марафон!G33="М","спортсмен","не понятно кто"))</f>
        <v>спортсменка</v>
      </c>
      <c r="G21" s="452"/>
      <c r="H21" s="452" t="str">
        <f>Техническая_марафон!B33</f>
        <v>I</v>
      </c>
      <c r="I21" s="1769" t="str">
        <f>Техническая_марафон!H33</f>
        <v>Фамилия_1 Имя Отчество</v>
      </c>
      <c r="J21" s="1770"/>
      <c r="K21" s="453"/>
    </row>
    <row r="22" spans="1:11" s="423" customFormat="1" ht="27" customHeight="1">
      <c r="A22" s="778">
        <v>14</v>
      </c>
      <c r="B22" s="454" t="str">
        <f>Техническая_марафон!C34</f>
        <v>Девушки</v>
      </c>
      <c r="C22" s="454"/>
      <c r="D22" s="455" t="str">
        <f>Техническая_марафон!D34</f>
        <v xml:space="preserve"> </v>
      </c>
      <c r="E22" s="1051">
        <f>Техническая_марафон!E34</f>
        <v>0</v>
      </c>
      <c r="F22" s="452" t="str">
        <f>IF(Техническая_марафон!G34="Ж","спортсменка",IF(Техническая_марафон!G34="М","спортсмен","не понятно кто"))</f>
        <v>спортсменка</v>
      </c>
      <c r="G22" s="452"/>
      <c r="H22" s="452" t="str">
        <f>Техническая_марафон!B34</f>
        <v>I</v>
      </c>
      <c r="I22" s="1769" t="str">
        <f>Техническая_марафон!H34</f>
        <v>Фамилия_1 Имя Отчество</v>
      </c>
      <c r="J22" s="1770"/>
      <c r="K22" s="453"/>
    </row>
    <row r="23" spans="1:11" s="423" customFormat="1" ht="27" customHeight="1">
      <c r="A23" s="778">
        <v>15</v>
      </c>
      <c r="B23" s="454" t="str">
        <f>Техническая_марафон!C35</f>
        <v>Девушки</v>
      </c>
      <c r="C23" s="454"/>
      <c r="D23" s="455" t="str">
        <f>Техническая_марафон!D35</f>
        <v xml:space="preserve"> </v>
      </c>
      <c r="E23" s="1051">
        <f>Техническая_марафон!E35</f>
        <v>0</v>
      </c>
      <c r="F23" s="452" t="str">
        <f>IF(Техническая_марафон!G35="Ж","спортсменка",IF(Техническая_марафон!G35="М","спортсмен","не понятно кто"))</f>
        <v>спортсменка</v>
      </c>
      <c r="G23" s="452"/>
      <c r="H23" s="452" t="str">
        <f>Техническая_марафон!B35</f>
        <v>I</v>
      </c>
      <c r="I23" s="1769" t="str">
        <f>Техническая_марафон!H35</f>
        <v>Фамилия_1 Имя Отчество</v>
      </c>
      <c r="J23" s="1770"/>
      <c r="K23" s="453"/>
    </row>
    <row r="24" spans="1:11" s="423" customFormat="1" ht="27" customHeight="1">
      <c r="A24" s="778">
        <v>16</v>
      </c>
      <c r="B24" s="454" t="str">
        <f>Техническая_марафон!C36</f>
        <v>Девушки</v>
      </c>
      <c r="C24" s="454"/>
      <c r="D24" s="455" t="str">
        <f>Техническая_марафон!D36</f>
        <v xml:space="preserve"> </v>
      </c>
      <c r="E24" s="1051">
        <f>Техническая_марафон!E36</f>
        <v>0</v>
      </c>
      <c r="F24" s="452" t="str">
        <f>IF(Техническая_марафон!G36="Ж","спортсменка",IF(Техническая_марафон!G36="М","спортсмен","не понятно кто"))</f>
        <v>спортсменка</v>
      </c>
      <c r="G24" s="452"/>
      <c r="H24" s="452" t="str">
        <f>Техническая_марафон!B36</f>
        <v>I</v>
      </c>
      <c r="I24" s="1769" t="str">
        <f>Техническая_марафон!H36</f>
        <v>Фамилия_1 Имя Отчество</v>
      </c>
      <c r="J24" s="1770"/>
      <c r="K24" s="453"/>
    </row>
    <row r="25" spans="1:11" s="423" customFormat="1" ht="27" customHeight="1">
      <c r="A25" s="778">
        <v>17</v>
      </c>
      <c r="B25" s="454" t="str">
        <f>Техническая_марафон!C37</f>
        <v>Девушки</v>
      </c>
      <c r="C25" s="454"/>
      <c r="D25" s="455" t="str">
        <f>Техническая_марафон!D37</f>
        <v xml:space="preserve"> </v>
      </c>
      <c r="E25" s="1051">
        <f>Техническая_марафон!E37</f>
        <v>0</v>
      </c>
      <c r="F25" s="452" t="str">
        <f>IF(Техническая_марафон!G37="Ж","спортсменка",IF(Техническая_марафон!G37="М","спортсмен","не понятно кто"))</f>
        <v>спортсменка</v>
      </c>
      <c r="G25" s="452"/>
      <c r="H25" s="452" t="str">
        <f>Техническая_марафон!B37</f>
        <v>I юн</v>
      </c>
      <c r="I25" s="1769" t="str">
        <f>Техническая_марафон!H37</f>
        <v>Фамилия_1 Имя Отчество</v>
      </c>
      <c r="J25" s="1770"/>
      <c r="K25" s="453"/>
    </row>
    <row r="26" spans="1:11" s="423" customFormat="1" ht="27" customHeight="1">
      <c r="A26" s="778">
        <v>18</v>
      </c>
      <c r="B26" s="454" t="str">
        <f>Техническая_марафон!C38</f>
        <v>Девушки</v>
      </c>
      <c r="C26" s="454"/>
      <c r="D26" s="455" t="str">
        <f>Техническая_марафон!D38</f>
        <v xml:space="preserve"> </v>
      </c>
      <c r="E26" s="1051">
        <f>Техническая_марафон!E38</f>
        <v>0</v>
      </c>
      <c r="F26" s="452" t="str">
        <f>IF(Техническая_марафон!G38="Ж","спортсменка",IF(Техническая_марафон!G38="М","спортсмен","не понятно кто"))</f>
        <v>спортсменка</v>
      </c>
      <c r="G26" s="452"/>
      <c r="H26" s="452" t="str">
        <f>Техническая_марафон!B38</f>
        <v>II юн</v>
      </c>
      <c r="I26" s="1769" t="str">
        <f>Техническая_марафон!H38</f>
        <v>Фамилия_1 Имя Отчество</v>
      </c>
      <c r="J26" s="1770"/>
      <c r="K26" s="453"/>
    </row>
    <row r="27" spans="1:11" s="423" customFormat="1" ht="27" customHeight="1">
      <c r="A27" s="778">
        <v>19</v>
      </c>
      <c r="B27" s="454" t="str">
        <f>Техническая_марафон!C39</f>
        <v>Девушки</v>
      </c>
      <c r="C27" s="454"/>
      <c r="D27" s="455" t="str">
        <f>Техническая_марафон!D39</f>
        <v xml:space="preserve"> </v>
      </c>
      <c r="E27" s="1051">
        <f>Техническая_марафон!E39</f>
        <v>0</v>
      </c>
      <c r="F27" s="452" t="str">
        <f>IF(Техническая_марафон!G39="Ж","спортсменка",IF(Техническая_марафон!G39="М","спортсмен","не понятно кто"))</f>
        <v>спортсменка</v>
      </c>
      <c r="G27" s="452"/>
      <c r="H27" s="452" t="str">
        <f>Техническая_марафон!B39</f>
        <v>III юн</v>
      </c>
      <c r="I27" s="1769" t="str">
        <f>Техническая_марафон!H39</f>
        <v>Фамилия_1 Имя Отчество</v>
      </c>
      <c r="J27" s="1770"/>
      <c r="K27" s="453"/>
    </row>
    <row r="28" spans="1:11" s="423" customFormat="1" ht="27" customHeight="1">
      <c r="A28" s="778">
        <v>20</v>
      </c>
      <c r="B28" s="454" t="str">
        <f>Техническая_марафон!C40</f>
        <v>Девушки</v>
      </c>
      <c r="C28" s="454"/>
      <c r="D28" s="455" t="str">
        <f>Техническая_марафон!D40</f>
        <v xml:space="preserve"> </v>
      </c>
      <c r="E28" s="1051">
        <f>Техническая_марафон!E40</f>
        <v>0</v>
      </c>
      <c r="F28" s="452" t="str">
        <f>IF(Техническая_марафон!G40="Ж","спортсменка",IF(Техническая_марафон!G40="М","спортсмен","не понятно кто"))</f>
        <v>спортсменка</v>
      </c>
      <c r="G28" s="452"/>
      <c r="H28" s="452" t="str">
        <f>Техническая_марафон!B40</f>
        <v>МСМК</v>
      </c>
      <c r="I28" s="1769" t="str">
        <f>Техническая_марафон!H40</f>
        <v>Фамилия_1 Имя Отчество</v>
      </c>
      <c r="J28" s="1770"/>
      <c r="K28" s="453"/>
    </row>
    <row r="29" spans="1:11" s="423" customFormat="1" ht="27" customHeight="1">
      <c r="A29" s="778">
        <v>21</v>
      </c>
      <c r="B29" s="454" t="str">
        <f>Техническая_марафон!C41</f>
        <v>Девушки</v>
      </c>
      <c r="C29" s="454"/>
      <c r="D29" s="455" t="str">
        <f>Техническая_марафон!D41</f>
        <v xml:space="preserve"> </v>
      </c>
      <c r="E29" s="1051">
        <f>Техническая_марафон!E41</f>
        <v>0</v>
      </c>
      <c r="F29" s="452" t="str">
        <f>IF(Техническая_марафон!G41="Ж","спортсменка",IF(Техническая_марафон!G41="М","спортсмен","не понятно кто"))</f>
        <v>спортсменка</v>
      </c>
      <c r="G29" s="452"/>
      <c r="H29" s="452" t="str">
        <f>Техническая_марафон!B41</f>
        <v>МС</v>
      </c>
      <c r="I29" s="1769" t="str">
        <f>Техническая_марафон!H41</f>
        <v>Фамилия_1 Имя Отчество</v>
      </c>
      <c r="J29" s="1770"/>
      <c r="K29" s="453"/>
    </row>
    <row r="30" spans="1:11" s="423" customFormat="1" ht="27" customHeight="1">
      <c r="A30" s="778">
        <v>22</v>
      </c>
      <c r="B30" s="454" t="str">
        <f>Техническая_марафон!C42</f>
        <v>Девушки</v>
      </c>
      <c r="C30" s="454"/>
      <c r="D30" s="455" t="str">
        <f>Техническая_марафон!D42</f>
        <v xml:space="preserve"> </v>
      </c>
      <c r="E30" s="1051">
        <f>Техническая_марафон!E42</f>
        <v>0</v>
      </c>
      <c r="F30" s="452" t="str">
        <f>IF(Техническая_марафон!G42="Ж","спортсменка",IF(Техническая_марафон!G42="М","спортсмен","не понятно кто"))</f>
        <v>спортсменка</v>
      </c>
      <c r="G30" s="452"/>
      <c r="H30" s="452" t="str">
        <f>Техническая_марафон!B42</f>
        <v>I</v>
      </c>
      <c r="I30" s="1769" t="str">
        <f>Техническая_марафон!H42</f>
        <v>Фамилия_1 Имя Отчество</v>
      </c>
      <c r="J30" s="1770"/>
      <c r="K30" s="453"/>
    </row>
    <row r="31" spans="1:11" s="423" customFormat="1" ht="27" customHeight="1">
      <c r="A31" s="778">
        <v>23</v>
      </c>
      <c r="B31" s="454" t="str">
        <f>Техническая_марафон!C43</f>
        <v>Девушки</v>
      </c>
      <c r="C31" s="454"/>
      <c r="D31" s="455" t="str">
        <f>Техническая_марафон!D43</f>
        <v xml:space="preserve"> </v>
      </c>
      <c r="E31" s="1051">
        <f>Техническая_марафон!E43</f>
        <v>0</v>
      </c>
      <c r="F31" s="452" t="str">
        <f>IF(Техническая_марафон!G43="Ж","спортсменка",IF(Техническая_марафон!G43="М","спортсмен","не понятно кто"))</f>
        <v>спортсменка</v>
      </c>
      <c r="G31" s="452"/>
      <c r="H31" s="452" t="str">
        <f>Техническая_марафон!B43</f>
        <v>МС</v>
      </c>
      <c r="I31" s="1769" t="str">
        <f>Техническая_марафон!H43</f>
        <v>Фамилия_1 Имя Отчество</v>
      </c>
      <c r="J31" s="1770"/>
      <c r="K31" s="453"/>
    </row>
    <row r="32" spans="1:11" s="423" customFormat="1" ht="27" customHeight="1">
      <c r="A32" s="778">
        <v>24</v>
      </c>
      <c r="B32" s="454" t="str">
        <f>Техническая_марафон!C44</f>
        <v>Девушки</v>
      </c>
      <c r="C32" s="454"/>
      <c r="D32" s="455" t="str">
        <f>Техническая_марафон!D44</f>
        <v xml:space="preserve"> </v>
      </c>
      <c r="E32" s="1051">
        <f>Техническая_марафон!E44</f>
        <v>0</v>
      </c>
      <c r="F32" s="452" t="str">
        <f>IF(Техническая_марафон!G44="Ж","спортсменка",IF(Техническая_марафон!G44="М","спортсмен","не понятно кто"))</f>
        <v>спортсменка</v>
      </c>
      <c r="G32" s="452"/>
      <c r="H32" s="452" t="str">
        <f>Техническая_марафон!B44</f>
        <v>I</v>
      </c>
      <c r="I32" s="1769" t="str">
        <f>Техническая_марафон!H44</f>
        <v>Фамилия_1 Имя Отчество</v>
      </c>
      <c r="J32" s="1770"/>
      <c r="K32" s="453"/>
    </row>
    <row r="33" spans="1:11" s="423" customFormat="1" ht="27" customHeight="1">
      <c r="A33" s="778">
        <v>25</v>
      </c>
      <c r="B33" s="454" t="str">
        <f>Техническая_марафон!C45</f>
        <v>Девушки</v>
      </c>
      <c r="C33" s="454"/>
      <c r="D33" s="455" t="str">
        <f>Техническая_марафон!D45</f>
        <v xml:space="preserve"> </v>
      </c>
      <c r="E33" s="1051">
        <f>Техническая_марафон!E45</f>
        <v>0</v>
      </c>
      <c r="F33" s="452" t="str">
        <f>IF(Техническая_марафон!G45="Ж","спортсменка",IF(Техническая_марафон!G45="М","спортсмен","не понятно кто"))</f>
        <v>спортсменка</v>
      </c>
      <c r="G33" s="452"/>
      <c r="H33" s="452" t="str">
        <f>Техническая_марафон!B45</f>
        <v>II</v>
      </c>
      <c r="I33" s="1769" t="str">
        <f>Техническая_марафон!H45</f>
        <v>Фамилия_1 Имя Отчество</v>
      </c>
      <c r="J33" s="1770"/>
      <c r="K33" s="453"/>
    </row>
    <row r="34" spans="1:11" s="423" customFormat="1" ht="27" customHeight="1">
      <c r="A34" s="778">
        <v>26</v>
      </c>
      <c r="B34" s="454" t="str">
        <f>Техническая_марафон!C46</f>
        <v>Юноши</v>
      </c>
      <c r="C34" s="454"/>
      <c r="D34" s="455" t="str">
        <f>Техническая_марафон!D46</f>
        <v xml:space="preserve"> </v>
      </c>
      <c r="E34" s="1051">
        <f>Техническая_марафон!E46</f>
        <v>0</v>
      </c>
      <c r="F34" s="452" t="str">
        <f>IF(Техническая_марафон!G46="Ж","спортсменка",IF(Техническая_марафон!G46="М","спортсмен","не понятно кто"))</f>
        <v>спортсмен</v>
      </c>
      <c r="G34" s="452"/>
      <c r="H34" s="452" t="str">
        <f>Техническая_марафон!B46</f>
        <v>III юн</v>
      </c>
      <c r="I34" s="1769" t="str">
        <f>Техническая_марафон!H46</f>
        <v>Фамилия_1 Имя Отчество</v>
      </c>
      <c r="J34" s="1770"/>
      <c r="K34" s="453"/>
    </row>
    <row r="35" spans="1:11" s="423" customFormat="1" ht="27" customHeight="1">
      <c r="A35" s="778">
        <v>27</v>
      </c>
      <c r="B35" s="454" t="str">
        <f>Техническая_марафон!C47</f>
        <v>Юноши</v>
      </c>
      <c r="C35" s="454"/>
      <c r="D35" s="455" t="str">
        <f>Техническая_марафон!D47</f>
        <v xml:space="preserve"> </v>
      </c>
      <c r="E35" s="1051">
        <f>Техническая_марафон!E47</f>
        <v>0</v>
      </c>
      <c r="F35" s="452" t="str">
        <f>IF(Техническая_марафон!G47="Ж","спортсменка",IF(Техническая_марафон!G47="М","спортсмен","не понятно кто"))</f>
        <v>спортсмен</v>
      </c>
      <c r="G35" s="452"/>
      <c r="H35" s="452" t="str">
        <f>Техническая_марафон!B47</f>
        <v>II</v>
      </c>
      <c r="I35" s="1769" t="str">
        <f>Техническая_марафон!H47</f>
        <v>Фамилия_1 Имя Отчество</v>
      </c>
      <c r="J35" s="1770"/>
      <c r="K35" s="453"/>
    </row>
    <row r="36" spans="1:11" s="423" customFormat="1" ht="27" customHeight="1">
      <c r="A36" s="778">
        <v>28</v>
      </c>
      <c r="B36" s="454" t="str">
        <f>Техническая_марафон!C48</f>
        <v>Юноши</v>
      </c>
      <c r="C36" s="454"/>
      <c r="D36" s="455" t="str">
        <f>Техническая_марафон!D48</f>
        <v xml:space="preserve"> </v>
      </c>
      <c r="E36" s="1051">
        <f>Техническая_марафон!E48</f>
        <v>0</v>
      </c>
      <c r="F36" s="452" t="str">
        <f>IF(Техническая_марафон!G48="Ж","спортсменка",IF(Техническая_марафон!G48="М","спортсмен","не понятно кто"))</f>
        <v>спортсмен</v>
      </c>
      <c r="G36" s="452"/>
      <c r="H36" s="452" t="str">
        <f>Техническая_марафон!B48</f>
        <v>ЗМС</v>
      </c>
      <c r="I36" s="1769" t="str">
        <f>Техническая_марафон!H48</f>
        <v>Фамилия_1 Имя Отчество</v>
      </c>
      <c r="J36" s="1770"/>
      <c r="K36" s="453"/>
    </row>
    <row r="37" spans="1:11" s="423" customFormat="1" ht="27" customHeight="1">
      <c r="A37" s="778">
        <v>29</v>
      </c>
      <c r="B37" s="454" t="str">
        <f>Техническая_марафон!C49</f>
        <v>Юноши</v>
      </c>
      <c r="C37" s="454"/>
      <c r="D37" s="455" t="str">
        <f>Техническая_марафон!D49</f>
        <v xml:space="preserve"> </v>
      </c>
      <c r="E37" s="1051">
        <f>Техническая_марафон!E49</f>
        <v>0</v>
      </c>
      <c r="F37" s="452" t="str">
        <f>IF(Техническая_марафон!G49="Ж","спортсменка",IF(Техническая_марафон!G49="М","спортсмен","не понятно кто"))</f>
        <v>спортсмен</v>
      </c>
      <c r="G37" s="452"/>
      <c r="H37" s="452" t="str">
        <f>Техническая_марафон!B49</f>
        <v>МСМК</v>
      </c>
      <c r="I37" s="1769" t="str">
        <f>Техническая_марафон!H49</f>
        <v>Фамилия_1 Имя Отчество</v>
      </c>
      <c r="J37" s="1770"/>
      <c r="K37" s="453"/>
    </row>
    <row r="38" spans="1:11" s="423" customFormat="1" ht="27" customHeight="1">
      <c r="A38" s="778">
        <v>30</v>
      </c>
      <c r="B38" s="454" t="str">
        <f>Техническая_марафон!C50</f>
        <v>Юноши</v>
      </c>
      <c r="C38" s="454"/>
      <c r="D38" s="455" t="str">
        <f>Техническая_марафон!D50</f>
        <v xml:space="preserve"> </v>
      </c>
      <c r="E38" s="1051">
        <f>Техническая_марафон!E50</f>
        <v>0</v>
      </c>
      <c r="F38" s="452" t="str">
        <f>IF(Техническая_марафон!G50="Ж","спортсменка",IF(Техническая_марафон!G50="М","спортсмен","не понятно кто"))</f>
        <v>спортсмен</v>
      </c>
      <c r="G38" s="452"/>
      <c r="H38" s="452" t="str">
        <f>Техническая_марафон!B50</f>
        <v>МС</v>
      </c>
      <c r="I38" s="1769" t="str">
        <f>Техническая_марафон!H50</f>
        <v>Фамилия_1 Имя Отчество</v>
      </c>
      <c r="J38" s="1770"/>
      <c r="K38" s="453"/>
    </row>
    <row r="39" spans="1:11" s="423" customFormat="1" ht="27" customHeight="1">
      <c r="A39" s="778">
        <v>31</v>
      </c>
      <c r="B39" s="454" t="str">
        <f>Техническая_марафон!C51</f>
        <v>Юноши</v>
      </c>
      <c r="C39" s="454"/>
      <c r="D39" s="455" t="str">
        <f>Техническая_марафон!D51</f>
        <v xml:space="preserve"> </v>
      </c>
      <c r="E39" s="1051">
        <f>Техническая_марафон!E51</f>
        <v>0</v>
      </c>
      <c r="F39" s="452" t="str">
        <f>IF(Техническая_марафон!G51="Ж","спортсменка",IF(Техническая_марафон!G51="М","спортсмен","не понятно кто"))</f>
        <v>спортсмен</v>
      </c>
      <c r="G39" s="452"/>
      <c r="H39" s="452" t="str">
        <f>Техническая_марафон!B51</f>
        <v>КМС</v>
      </c>
      <c r="I39" s="1769" t="str">
        <f>Техническая_марафон!H51</f>
        <v>Фамилия_1 Имя Отчество</v>
      </c>
      <c r="J39" s="1770"/>
      <c r="K39" s="453"/>
    </row>
    <row r="40" spans="1:11" s="423" customFormat="1" ht="27" customHeight="1">
      <c r="A40" s="778">
        <v>32</v>
      </c>
      <c r="B40" s="454" t="str">
        <f>Техническая_марафон!C52</f>
        <v>Юноши</v>
      </c>
      <c r="C40" s="454"/>
      <c r="D40" s="455" t="str">
        <f>Техническая_марафон!D52</f>
        <v xml:space="preserve"> </v>
      </c>
      <c r="E40" s="1051">
        <f>Техническая_марафон!E52</f>
        <v>0</v>
      </c>
      <c r="F40" s="452" t="str">
        <f>IF(Техническая_марафон!G52="Ж","спортсменка",IF(Техническая_марафон!G52="М","спортсмен","не понятно кто"))</f>
        <v>спортсмен</v>
      </c>
      <c r="G40" s="452"/>
      <c r="H40" s="452" t="str">
        <f>Техническая_марафон!B52</f>
        <v>КМС</v>
      </c>
      <c r="I40" s="1769" t="str">
        <f>Техническая_марафон!H52</f>
        <v>Фамилия_1 Имя Отчество</v>
      </c>
      <c r="J40" s="1770"/>
      <c r="K40" s="453"/>
    </row>
    <row r="41" spans="1:11" s="423" customFormat="1" ht="27" customHeight="1">
      <c r="A41" s="778">
        <v>33</v>
      </c>
      <c r="B41" s="454" t="str">
        <f>Техническая_марафон!C53</f>
        <v>Юноши</v>
      </c>
      <c r="C41" s="454"/>
      <c r="D41" s="455" t="str">
        <f>Техническая_марафон!D53</f>
        <v xml:space="preserve"> </v>
      </c>
      <c r="E41" s="1051">
        <f>Техническая_марафон!E53</f>
        <v>0</v>
      </c>
      <c r="F41" s="452" t="str">
        <f>IF(Техническая_марафон!G53="Ж","спортсменка",IF(Техническая_марафон!G53="М","спортсмен","не понятно кто"))</f>
        <v>спортсмен</v>
      </c>
      <c r="G41" s="452"/>
      <c r="H41" s="452" t="str">
        <f>Техническая_марафон!B53</f>
        <v>КМС</v>
      </c>
      <c r="I41" s="1769" t="str">
        <f>Техническая_марафон!H53</f>
        <v>Фамилия_1 Имя Отчество</v>
      </c>
      <c r="J41" s="1770"/>
      <c r="K41" s="453"/>
    </row>
    <row r="42" spans="1:11" s="423" customFormat="1" ht="27" customHeight="1">
      <c r="A42" s="778">
        <v>34</v>
      </c>
      <c r="B42" s="454" t="str">
        <f>Техническая_марафон!C54</f>
        <v>Юноши</v>
      </c>
      <c r="C42" s="454"/>
      <c r="D42" s="455" t="str">
        <f>Техническая_марафон!D54</f>
        <v xml:space="preserve"> </v>
      </c>
      <c r="E42" s="1051">
        <f>Техническая_марафон!E54</f>
        <v>0</v>
      </c>
      <c r="F42" s="452" t="str">
        <f>IF(Техническая_марафон!G54="Ж","спортсменка",IF(Техническая_марафон!G54="М","спортсмен","не понятно кто"))</f>
        <v>спортсмен</v>
      </c>
      <c r="G42" s="452"/>
      <c r="H42" s="452" t="str">
        <f>Техническая_марафон!B54</f>
        <v>ЗМС</v>
      </c>
      <c r="I42" s="1769" t="str">
        <f>Техническая_марафон!H54</f>
        <v>Фамилия_1 Имя Отчество</v>
      </c>
      <c r="J42" s="1770"/>
      <c r="K42" s="453"/>
    </row>
    <row r="43" spans="1:11" s="423" customFormat="1" ht="27" customHeight="1">
      <c r="A43" s="778">
        <v>35</v>
      </c>
      <c r="B43" s="454" t="str">
        <f>Техническая_марафон!C55</f>
        <v>Юноши</v>
      </c>
      <c r="C43" s="454"/>
      <c r="D43" s="455" t="str">
        <f>Техническая_марафон!D55</f>
        <v xml:space="preserve"> </v>
      </c>
      <c r="E43" s="1051">
        <f>Техническая_марафон!E55</f>
        <v>0</v>
      </c>
      <c r="F43" s="452" t="str">
        <f>IF(Техническая_марафон!G55="Ж","спортсменка",IF(Техническая_марафон!G55="М","спортсмен","не понятно кто"))</f>
        <v>спортсмен</v>
      </c>
      <c r="G43" s="452"/>
      <c r="H43" s="452" t="str">
        <f>Техническая_марафон!B55</f>
        <v>МСМК</v>
      </c>
      <c r="I43" s="1769" t="str">
        <f>Техническая_марафон!H55</f>
        <v>Фамилия_1 Имя Отчество</v>
      </c>
      <c r="J43" s="1770"/>
      <c r="K43" s="453"/>
    </row>
    <row r="44" spans="1:11" s="423" customFormat="1" ht="27" customHeight="1">
      <c r="A44" s="778">
        <v>36</v>
      </c>
      <c r="B44" s="454" t="str">
        <f>Техническая_марафон!C56</f>
        <v>Юноши</v>
      </c>
      <c r="C44" s="454"/>
      <c r="D44" s="455" t="str">
        <f>Техническая_марафон!D56</f>
        <v xml:space="preserve"> </v>
      </c>
      <c r="E44" s="1051">
        <f>Техническая_марафон!E56</f>
        <v>0</v>
      </c>
      <c r="F44" s="452" t="str">
        <f>IF(Техническая_марафон!G56="Ж","спортсменка",IF(Техническая_марафон!G56="М","спортсмен","не понятно кто"))</f>
        <v>спортсмен</v>
      </c>
      <c r="G44" s="452"/>
      <c r="H44" s="452" t="str">
        <f>Техническая_марафон!B56</f>
        <v>МС</v>
      </c>
      <c r="I44" s="1769" t="str">
        <f>Техническая_марафон!H56</f>
        <v>Фамилия_1 Имя Отчество</v>
      </c>
      <c r="J44" s="1770"/>
      <c r="K44" s="453"/>
    </row>
    <row r="45" spans="1:11" s="423" customFormat="1" ht="27" customHeight="1">
      <c r="A45" s="778">
        <v>37</v>
      </c>
      <c r="B45" s="454" t="str">
        <f>Техническая_марафон!C57</f>
        <v>Юноши</v>
      </c>
      <c r="C45" s="454"/>
      <c r="D45" s="455" t="str">
        <f>Техническая_марафон!D57</f>
        <v xml:space="preserve"> </v>
      </c>
      <c r="E45" s="1051">
        <f>Техническая_марафон!E57</f>
        <v>0</v>
      </c>
      <c r="F45" s="452" t="str">
        <f>IF(Техническая_марафон!G57="Ж","спортсменка",IF(Техническая_марафон!G57="М","спортсмен","не понятно кто"))</f>
        <v>спортсмен</v>
      </c>
      <c r="G45" s="452"/>
      <c r="H45" s="452" t="str">
        <f>Техническая_марафон!B57</f>
        <v>КМС</v>
      </c>
      <c r="I45" s="1769" t="str">
        <f>Техническая_марафон!H57</f>
        <v>Фамилия_1 Имя Отчество</v>
      </c>
      <c r="J45" s="1770"/>
      <c r="K45" s="453"/>
    </row>
    <row r="46" spans="1:11" s="423" customFormat="1" ht="27" customHeight="1">
      <c r="A46" s="778">
        <v>38</v>
      </c>
      <c r="B46" s="454" t="str">
        <f>Техническая_марафон!C58</f>
        <v>Юноши</v>
      </c>
      <c r="C46" s="454"/>
      <c r="D46" s="455" t="str">
        <f>Техническая_марафон!D58</f>
        <v xml:space="preserve"> </v>
      </c>
      <c r="E46" s="1051">
        <f>Техническая_марафон!E58</f>
        <v>0</v>
      </c>
      <c r="F46" s="452" t="str">
        <f>IF(Техническая_марафон!G58="Ж","спортсменка",IF(Техническая_марафон!G58="М","спортсмен","не понятно кто"))</f>
        <v>спортсмен</v>
      </c>
      <c r="G46" s="452"/>
      <c r="H46" s="452" t="str">
        <f>Техническая_марафон!B58</f>
        <v>КМС</v>
      </c>
      <c r="I46" s="1769" t="str">
        <f>Техническая_марафон!H58</f>
        <v>Фамилия_1 Имя Отчество</v>
      </c>
      <c r="J46" s="1770"/>
      <c r="K46" s="453"/>
    </row>
    <row r="47" spans="1:11" s="423" customFormat="1" ht="27" customHeight="1">
      <c r="A47" s="778">
        <v>39</v>
      </c>
      <c r="B47" s="454" t="str">
        <f>Техническая_марафон!C59</f>
        <v>Юноши</v>
      </c>
      <c r="C47" s="454"/>
      <c r="D47" s="455" t="str">
        <f>Техническая_марафон!D59</f>
        <v xml:space="preserve"> </v>
      </c>
      <c r="E47" s="1051">
        <f>Техническая_марафон!E59</f>
        <v>0</v>
      </c>
      <c r="F47" s="452" t="str">
        <f>IF(Техническая_марафон!G59="Ж","спортсменка",IF(Техническая_марафон!G59="М","спортсмен","не понятно кто"))</f>
        <v>спортсмен</v>
      </c>
      <c r="G47" s="452"/>
      <c r="H47" s="452" t="str">
        <f>Техническая_марафон!B59</f>
        <v>КМС</v>
      </c>
      <c r="I47" s="1769" t="str">
        <f>Техническая_марафон!H59</f>
        <v>Фамилия_1 Имя Отчество</v>
      </c>
      <c r="J47" s="1770"/>
      <c r="K47" s="453"/>
    </row>
    <row r="48" spans="1:11" s="423" customFormat="1" ht="27" customHeight="1">
      <c r="A48" s="778">
        <v>40</v>
      </c>
      <c r="B48" s="454" t="str">
        <f>Техническая_марафон!C60</f>
        <v>Юноши</v>
      </c>
      <c r="C48" s="454"/>
      <c r="D48" s="455" t="str">
        <f>Техническая_марафон!D60</f>
        <v xml:space="preserve"> </v>
      </c>
      <c r="E48" s="1051">
        <f>Техническая_марафон!E60</f>
        <v>0</v>
      </c>
      <c r="F48" s="452" t="str">
        <f>IF(Техническая_марафон!G60="Ж","спортсменка",IF(Техническая_марафон!G60="М","спортсмен","не понятно кто"))</f>
        <v>спортсмен</v>
      </c>
      <c r="G48" s="452"/>
      <c r="H48" s="452" t="str">
        <f>Техническая_марафон!B60</f>
        <v>КМС</v>
      </c>
      <c r="I48" s="1769" t="str">
        <f>Техническая_марафон!H60</f>
        <v>Фамилия_1 Имя Отчество</v>
      </c>
      <c r="J48" s="1770"/>
      <c r="K48" s="453"/>
    </row>
    <row r="49" spans="1:11" s="423" customFormat="1" ht="27" customHeight="1">
      <c r="A49" s="778">
        <v>41</v>
      </c>
      <c r="B49" s="454" t="str">
        <f>Техническая_марафон!C61</f>
        <v>Юноши</v>
      </c>
      <c r="C49" s="454"/>
      <c r="D49" s="455" t="str">
        <f>Техническая_марафон!D61</f>
        <v xml:space="preserve"> </v>
      </c>
      <c r="E49" s="1051">
        <f>Техническая_марафон!E61</f>
        <v>0</v>
      </c>
      <c r="F49" s="452" t="str">
        <f>IF(Техническая_марафон!G61="Ж","спортсменка",IF(Техническая_марафон!G61="М","спортсмен","не понятно кто"))</f>
        <v>спортсмен</v>
      </c>
      <c r="G49" s="452"/>
      <c r="H49" s="452" t="str">
        <f>Техническая_марафон!B61</f>
        <v>КМС</v>
      </c>
      <c r="I49" s="1769" t="str">
        <f>Техническая_марафон!H61</f>
        <v>Фамилия_1 Имя Отчество</v>
      </c>
      <c r="J49" s="1770"/>
      <c r="K49" s="453"/>
    </row>
    <row r="50" spans="1:11" s="423" customFormat="1" ht="27" customHeight="1">
      <c r="A50" s="778">
        <v>42</v>
      </c>
      <c r="B50" s="454" t="str">
        <f>Техническая_марафон!C62</f>
        <v>Юноши</v>
      </c>
      <c r="C50" s="454"/>
      <c r="D50" s="455" t="str">
        <f>Техническая_марафон!D62</f>
        <v xml:space="preserve"> </v>
      </c>
      <c r="E50" s="1051">
        <f>Техническая_марафон!E62</f>
        <v>0</v>
      </c>
      <c r="F50" s="452" t="str">
        <f>IF(Техническая_марафон!G62="Ж","спортсменка",IF(Техническая_марафон!G62="М","спортсмен","не понятно кто"))</f>
        <v>спортсмен</v>
      </c>
      <c r="G50" s="452"/>
      <c r="H50" s="452" t="str">
        <f>Техническая_марафон!B62</f>
        <v>КМС</v>
      </c>
      <c r="I50" s="1769" t="str">
        <f>Техническая_марафон!H62</f>
        <v>Фамилия_1 Имя Отчество</v>
      </c>
      <c r="J50" s="1770"/>
      <c r="K50" s="453"/>
    </row>
    <row r="51" spans="1:11" s="423" customFormat="1" ht="27" customHeight="1">
      <c r="A51" s="778">
        <v>43</v>
      </c>
      <c r="B51" s="454" t="str">
        <f>Техническая_марафон!C63</f>
        <v>Юноши</v>
      </c>
      <c r="C51" s="454"/>
      <c r="D51" s="455" t="str">
        <f>Техническая_марафон!D63</f>
        <v xml:space="preserve"> </v>
      </c>
      <c r="E51" s="1051">
        <f>Техническая_марафон!E63</f>
        <v>0</v>
      </c>
      <c r="F51" s="452" t="str">
        <f>IF(Техническая_марафон!G63="Ж","спортсменка",IF(Техническая_марафон!G63="М","спортсмен","не понятно кто"))</f>
        <v>спортсмен</v>
      </c>
      <c r="G51" s="452"/>
      <c r="H51" s="452" t="str">
        <f>Техническая_марафон!B63</f>
        <v>КМС</v>
      </c>
      <c r="I51" s="1769" t="str">
        <f>Техническая_марафон!H63</f>
        <v>Фамилия_1 Имя Отчество</v>
      </c>
      <c r="J51" s="1770"/>
      <c r="K51" s="453"/>
    </row>
    <row r="52" spans="1:11" s="423" customFormat="1" ht="27" customHeight="1">
      <c r="A52" s="778">
        <v>44</v>
      </c>
      <c r="B52" s="454" t="str">
        <f>Техническая_марафон!C64</f>
        <v>Юноши</v>
      </c>
      <c r="C52" s="454"/>
      <c r="D52" s="455" t="str">
        <f>Техническая_марафон!D64</f>
        <v xml:space="preserve"> </v>
      </c>
      <c r="E52" s="1051">
        <f>Техническая_марафон!E64</f>
        <v>0</v>
      </c>
      <c r="F52" s="452" t="str">
        <f>IF(Техническая_марафон!G64="Ж","спортсменка",IF(Техническая_марафон!G64="М","спортсмен","не понятно кто"))</f>
        <v>спортсмен</v>
      </c>
      <c r="G52" s="452"/>
      <c r="H52" s="452" t="str">
        <f>Техническая_марафон!B64</f>
        <v>КМС</v>
      </c>
      <c r="I52" s="1769" t="str">
        <f>Техническая_марафон!H64</f>
        <v>Фамилия_1 Имя Отчество</v>
      </c>
      <c r="J52" s="1770"/>
      <c r="K52" s="453"/>
    </row>
    <row r="53" spans="1:11" s="423" customFormat="1" ht="27" customHeight="1">
      <c r="A53" s="778">
        <v>45</v>
      </c>
      <c r="B53" s="454" t="str">
        <f>Техническая_марафон!C65</f>
        <v>Юноши</v>
      </c>
      <c r="C53" s="454"/>
      <c r="D53" s="455" t="str">
        <f>Техническая_марафон!D65</f>
        <v xml:space="preserve"> </v>
      </c>
      <c r="E53" s="1051">
        <f>Техническая_марафон!E65</f>
        <v>0</v>
      </c>
      <c r="F53" s="452" t="str">
        <f>IF(Техническая_марафон!G65="Ж","спортсменка",IF(Техническая_марафон!G65="М","спортсмен","не понятно кто"))</f>
        <v>спортсмен</v>
      </c>
      <c r="G53" s="452"/>
      <c r="H53" s="452" t="str">
        <f>Техническая_марафон!B65</f>
        <v>II юн</v>
      </c>
      <c r="I53" s="1769" t="str">
        <f>Техническая_марафон!H65</f>
        <v>Фамилия_1 Имя Отчество</v>
      </c>
      <c r="J53" s="1770"/>
      <c r="K53" s="453"/>
    </row>
    <row r="54" spans="1:11" s="423" customFormat="1" ht="27" customHeight="1">
      <c r="A54" s="778">
        <v>46</v>
      </c>
      <c r="B54" s="454" t="str">
        <f>Техническая_марафон!C66</f>
        <v>Юноши</v>
      </c>
      <c r="C54" s="454"/>
      <c r="D54" s="455" t="str">
        <f>Техническая_марафон!D66</f>
        <v xml:space="preserve"> </v>
      </c>
      <c r="E54" s="1051">
        <f>Техническая_марафон!E66</f>
        <v>0</v>
      </c>
      <c r="F54" s="452" t="str">
        <f>IF(Техническая_марафон!G66="Ж","спортсменка",IF(Техническая_марафон!G66="М","спортсмен","не понятно кто"))</f>
        <v>спортсмен</v>
      </c>
      <c r="G54" s="452"/>
      <c r="H54" s="452" t="str">
        <f>Техническая_марафон!B66</f>
        <v>III юн</v>
      </c>
      <c r="I54" s="1769" t="str">
        <f>Техническая_марафон!H66</f>
        <v>Фамилия_1 Имя Отчество</v>
      </c>
      <c r="J54" s="1770"/>
      <c r="K54" s="453"/>
    </row>
    <row r="55" spans="1:11" s="423" customFormat="1" ht="27" customHeight="1">
      <c r="A55" s="778">
        <v>47</v>
      </c>
      <c r="B55" s="454" t="str">
        <f>Техническая_марафон!C67</f>
        <v>Юноши</v>
      </c>
      <c r="C55" s="454"/>
      <c r="D55" s="455" t="str">
        <f>Техническая_марафон!D67</f>
        <v xml:space="preserve"> </v>
      </c>
      <c r="E55" s="1051">
        <f>Техническая_марафон!E67</f>
        <v>0</v>
      </c>
      <c r="F55" s="452" t="str">
        <f>IF(Техническая_марафон!G67="Ж","спортсменка",IF(Техническая_марафон!G67="М","спортсмен","не понятно кто"))</f>
        <v>спортсмен</v>
      </c>
      <c r="G55" s="452"/>
      <c r="H55" s="452" t="str">
        <f>Техническая_марафон!B67</f>
        <v>I юн</v>
      </c>
      <c r="I55" s="1769" t="str">
        <f>Техническая_марафон!H67</f>
        <v>Фамилия_1 Имя Отчество</v>
      </c>
      <c r="J55" s="1770"/>
      <c r="K55" s="453"/>
    </row>
    <row r="56" spans="1:11" s="423" customFormat="1" ht="27" customHeight="1">
      <c r="A56" s="778">
        <v>48</v>
      </c>
      <c r="B56" s="454" t="str">
        <f>Техническая_марафон!C68</f>
        <v>Юноши</v>
      </c>
      <c r="C56" s="454"/>
      <c r="D56" s="455" t="str">
        <f>Техническая_марафон!D68</f>
        <v xml:space="preserve"> </v>
      </c>
      <c r="E56" s="1051">
        <f>Техническая_марафон!E68</f>
        <v>0</v>
      </c>
      <c r="F56" s="452" t="str">
        <f>IF(Техническая_марафон!G68="Ж","спортсменка",IF(Техническая_марафон!G68="М","спортсмен","не понятно кто"))</f>
        <v>спортсмен</v>
      </c>
      <c r="G56" s="452"/>
      <c r="H56" s="452" t="str">
        <f>Техническая_марафон!B68</f>
        <v>III</v>
      </c>
      <c r="I56" s="1769" t="str">
        <f>Техническая_марафон!H68</f>
        <v>Фамилия_1 Имя Отчество</v>
      </c>
      <c r="J56" s="1770"/>
      <c r="K56" s="453"/>
    </row>
    <row r="57" spans="1:11" s="423" customFormat="1" ht="27" customHeight="1">
      <c r="A57" s="778">
        <v>49</v>
      </c>
      <c r="B57" s="454" t="str">
        <f>Техническая_марафон!C69</f>
        <v>Юноши</v>
      </c>
      <c r="C57" s="454"/>
      <c r="D57" s="455" t="str">
        <f>Техническая_марафон!D69</f>
        <v xml:space="preserve"> </v>
      </c>
      <c r="E57" s="1051">
        <f>Техническая_марафон!E69</f>
        <v>0</v>
      </c>
      <c r="F57" s="452" t="str">
        <f>IF(Техническая_марафон!G69="Ж","спортсменка",IF(Техническая_марафон!G69="М","спортсмен","не понятно кто"))</f>
        <v>спортсмен</v>
      </c>
      <c r="G57" s="452"/>
      <c r="H57" s="452" t="str">
        <f>Техническая_марафон!B69</f>
        <v>I юн</v>
      </c>
      <c r="I57" s="1769" t="str">
        <f>Техническая_марафон!H69</f>
        <v>Фамилия_1 Имя Отчество</v>
      </c>
      <c r="J57" s="1770"/>
      <c r="K57" s="453"/>
    </row>
    <row r="58" spans="1:11" s="423" customFormat="1" ht="27" customHeight="1">
      <c r="A58" s="778">
        <v>50</v>
      </c>
      <c r="B58" s="454" t="str">
        <f>Техническая_марафон!C70</f>
        <v>Юноши</v>
      </c>
      <c r="C58" s="454"/>
      <c r="D58" s="455" t="str">
        <f>Техническая_марафон!D70</f>
        <v xml:space="preserve"> </v>
      </c>
      <c r="E58" s="1051">
        <f>Техническая_марафон!E70</f>
        <v>0</v>
      </c>
      <c r="F58" s="452" t="str">
        <f>IF(Техническая_марафон!G70="Ж","спортсменка",IF(Техническая_марафон!G70="М","спортсмен","не понятно кто"))</f>
        <v>спортсмен</v>
      </c>
      <c r="G58" s="452"/>
      <c r="H58" s="452" t="str">
        <f>Техническая_марафон!B70</f>
        <v>II юн</v>
      </c>
      <c r="I58" s="1769" t="str">
        <f>Техническая_марафон!H70</f>
        <v>Фамилия_1 Имя Отчество</v>
      </c>
      <c r="J58" s="1770"/>
      <c r="K58" s="453"/>
    </row>
    <row r="59" spans="1:11" ht="15" customHeight="1">
      <c r="A59" s="422"/>
      <c r="B59" s="428"/>
      <c r="C59" s="428"/>
      <c r="D59" s="429"/>
      <c r="E59" s="422"/>
      <c r="F59" s="422"/>
      <c r="G59" s="422"/>
      <c r="H59" s="430"/>
      <c r="I59" s="430"/>
      <c r="J59" s="422"/>
      <c r="K59" s="429"/>
    </row>
    <row r="60" spans="1:11" s="423" customFormat="1" ht="24.75" customHeight="1">
      <c r="A60" s="431"/>
      <c r="C60" s="425" t="s">
        <v>340</v>
      </c>
      <c r="D60" s="432" t="str">
        <f>Техническая_марафон!E76</f>
        <v>Фамилия_1 Имя Отчество</v>
      </c>
      <c r="E60" s="433"/>
      <c r="F60" s="433"/>
      <c r="G60" s="425" t="s">
        <v>344</v>
      </c>
      <c r="H60" s="1771"/>
      <c r="I60" s="1771"/>
      <c r="J60" s="1771"/>
      <c r="K60" s="1771"/>
    </row>
    <row r="61" spans="1:11" s="423" customFormat="1" ht="24.75" customHeight="1">
      <c r="A61" s="422"/>
      <c r="B61" s="439"/>
      <c r="C61" s="439"/>
      <c r="D61" s="434" t="str">
        <f>Техническая_марафон!E77</f>
        <v>Фамилия_2 Имя Отчество</v>
      </c>
      <c r="E61" s="435"/>
      <c r="F61" s="435"/>
      <c r="G61" s="436"/>
      <c r="H61" s="1772"/>
      <c r="I61" s="1772"/>
      <c r="J61" s="1772"/>
      <c r="K61" s="1772"/>
    </row>
    <row r="62" spans="1:11" s="423" customFormat="1" ht="24.75" customHeight="1">
      <c r="A62" s="422"/>
      <c r="B62" s="439"/>
      <c r="C62" s="439"/>
      <c r="D62" s="434" t="str">
        <f>Техническая_марафон!E78</f>
        <v>Фамилия_3 Имя Отчество</v>
      </c>
      <c r="E62" s="435"/>
      <c r="F62" s="435"/>
      <c r="G62" s="436"/>
      <c r="H62" s="1772"/>
      <c r="I62" s="1772"/>
      <c r="J62" s="1772"/>
      <c r="K62" s="1772"/>
    </row>
    <row r="63" spans="1:11" s="423" customFormat="1" ht="21" customHeight="1">
      <c r="A63" s="436"/>
      <c r="B63" s="439"/>
      <c r="C63" s="439"/>
      <c r="D63" s="439"/>
      <c r="E63" s="436"/>
      <c r="F63" s="436"/>
      <c r="G63" s="436"/>
      <c r="H63" s="436"/>
      <c r="I63" s="436"/>
      <c r="J63" s="436"/>
      <c r="K63" s="437"/>
    </row>
    <row r="64" spans="1:11" s="423" customFormat="1" ht="17.25" customHeight="1">
      <c r="D64" s="447" t="s">
        <v>347</v>
      </c>
      <c r="E64" s="433"/>
      <c r="F64" s="433"/>
      <c r="G64" s="433"/>
      <c r="H64" s="1768" t="str">
        <f>Техническая_марафон!E76</f>
        <v>Фамилия_1 Имя Отчество</v>
      </c>
      <c r="I64" s="1768"/>
      <c r="J64" s="1768"/>
      <c r="K64" s="1768"/>
    </row>
    <row r="65" spans="1:11" s="466" customFormat="1" ht="12.75" customHeight="1">
      <c r="A65" s="465"/>
      <c r="B65" s="465"/>
      <c r="C65" s="465"/>
      <c r="F65" s="462" t="s">
        <v>120</v>
      </c>
      <c r="G65" s="464"/>
      <c r="H65" s="462"/>
      <c r="I65" s="462"/>
      <c r="J65" s="462" t="s">
        <v>121</v>
      </c>
      <c r="K65" s="467"/>
    </row>
    <row r="66" spans="1:11" s="445" customFormat="1" ht="21" customHeight="1">
      <c r="A66" s="444"/>
      <c r="B66" s="444"/>
      <c r="C66" s="444"/>
      <c r="F66" s="130"/>
      <c r="G66" s="448"/>
      <c r="H66" s="130"/>
      <c r="I66" s="130"/>
      <c r="J66" s="130"/>
      <c r="K66" s="446"/>
    </row>
    <row r="67" spans="1:11" s="423" customFormat="1" ht="18">
      <c r="A67" s="84" t="s">
        <v>986</v>
      </c>
      <c r="B67" s="84"/>
      <c r="C67" s="84"/>
      <c r="D67" s="761"/>
      <c r="E67" s="760"/>
      <c r="F67" s="84" t="s">
        <v>1056</v>
      </c>
      <c r="G67" s="447" t="s">
        <v>1027</v>
      </c>
      <c r="H67" s="461"/>
      <c r="I67" s="509"/>
      <c r="J67" s="1765"/>
      <c r="K67" s="1765"/>
    </row>
    <row r="68" spans="1:11" s="464" customFormat="1" ht="12.75">
      <c r="A68" s="463"/>
      <c r="B68" s="463"/>
      <c r="C68" s="463"/>
      <c r="E68" s="463"/>
      <c r="F68" s="462"/>
      <c r="I68" s="462" t="s">
        <v>120</v>
      </c>
      <c r="J68" s="462"/>
      <c r="K68" s="462" t="s">
        <v>121</v>
      </c>
    </row>
    <row r="70" spans="1:11" s="423" customFormat="1" ht="33.75" customHeight="1">
      <c r="A70" s="1766" t="s">
        <v>370</v>
      </c>
      <c r="B70" s="1767"/>
      <c r="C70" s="1767"/>
      <c r="D70" s="1767"/>
      <c r="E70" s="441"/>
      <c r="F70" s="441"/>
      <c r="G70" s="441"/>
      <c r="H70" s="441"/>
      <c r="I70" s="1765"/>
      <c r="J70" s="1765"/>
      <c r="K70" s="1765"/>
    </row>
    <row r="71" spans="1:11" s="466" customFormat="1" ht="12.75" customHeight="1">
      <c r="A71" s="465"/>
      <c r="B71" s="465"/>
      <c r="C71" s="465"/>
      <c r="F71" s="462" t="s">
        <v>120</v>
      </c>
      <c r="G71" s="464"/>
      <c r="H71" s="462"/>
      <c r="I71" s="462"/>
      <c r="J71" s="462" t="s">
        <v>121</v>
      </c>
      <c r="K71" s="467"/>
    </row>
    <row r="72" spans="1:11" s="423" customFormat="1" ht="12" customHeight="1">
      <c r="A72" s="438"/>
      <c r="B72" s="427"/>
      <c r="C72" s="427"/>
      <c r="D72" s="427"/>
      <c r="E72" s="427"/>
      <c r="F72" s="427"/>
      <c r="G72" s="427"/>
      <c r="H72" s="427"/>
      <c r="I72" s="427"/>
      <c r="J72" s="427"/>
      <c r="K72" s="427"/>
    </row>
    <row r="73" spans="1:11" s="423" customFormat="1" ht="33.75" customHeight="1">
      <c r="A73" s="1766" t="s">
        <v>350</v>
      </c>
      <c r="B73" s="1767"/>
      <c r="C73" s="1767"/>
      <c r="D73" s="1767"/>
      <c r="E73" s="441"/>
      <c r="F73" s="441"/>
      <c r="G73" s="441"/>
      <c r="H73" s="441"/>
      <c r="I73" s="1765"/>
      <c r="J73" s="1765"/>
      <c r="K73" s="1765"/>
    </row>
    <row r="74" spans="1:11" s="466" customFormat="1" ht="12.75" customHeight="1">
      <c r="A74" s="465"/>
      <c r="B74" s="465"/>
      <c r="C74" s="465"/>
      <c r="F74" s="462" t="s">
        <v>120</v>
      </c>
      <c r="G74" s="464"/>
      <c r="H74" s="462"/>
      <c r="I74" s="462"/>
      <c r="J74" s="462" t="s">
        <v>121</v>
      </c>
      <c r="K74" s="467"/>
    </row>
    <row r="75" spans="1:11" s="423" customFormat="1" ht="12" customHeight="1">
      <c r="A75" s="438"/>
      <c r="B75" s="438"/>
      <c r="C75" s="438"/>
      <c r="D75" s="427"/>
      <c r="E75" s="422"/>
      <c r="F75" s="422"/>
      <c r="G75" s="422"/>
      <c r="H75" s="427"/>
      <c r="I75" s="427"/>
      <c r="J75" s="422"/>
      <c r="K75" s="422"/>
    </row>
    <row r="76" spans="1:11" s="423" customFormat="1" ht="18">
      <c r="A76" s="440"/>
      <c r="B76" s="440"/>
      <c r="C76" s="440"/>
      <c r="D76" s="440"/>
      <c r="E76" s="440"/>
      <c r="F76" s="440"/>
      <c r="G76" s="440"/>
      <c r="H76" s="440"/>
      <c r="I76" s="440"/>
      <c r="J76" s="440"/>
      <c r="K76" s="440"/>
    </row>
  </sheetData>
  <mergeCells count="66">
    <mergeCell ref="I14:J14"/>
    <mergeCell ref="H1:K2"/>
    <mergeCell ref="A3:K3"/>
    <mergeCell ref="D4:K4"/>
    <mergeCell ref="D5:K5"/>
    <mergeCell ref="D6:I6"/>
    <mergeCell ref="B8:D8"/>
    <mergeCell ref="I8:J8"/>
    <mergeCell ref="I9:J9"/>
    <mergeCell ref="I10:J10"/>
    <mergeCell ref="I11:J11"/>
    <mergeCell ref="I12:J12"/>
    <mergeCell ref="I13:J13"/>
    <mergeCell ref="I26:J26"/>
    <mergeCell ref="I15:J15"/>
    <mergeCell ref="I16:J16"/>
    <mergeCell ref="I17:J17"/>
    <mergeCell ref="I18:J18"/>
    <mergeCell ref="I19:J19"/>
    <mergeCell ref="I20:J20"/>
    <mergeCell ref="I21:J21"/>
    <mergeCell ref="I22:J22"/>
    <mergeCell ref="I23:J23"/>
    <mergeCell ref="I24:J24"/>
    <mergeCell ref="I25:J25"/>
    <mergeCell ref="I38:J38"/>
    <mergeCell ref="I27:J27"/>
    <mergeCell ref="I28:J28"/>
    <mergeCell ref="I29:J29"/>
    <mergeCell ref="I30:J30"/>
    <mergeCell ref="I31:J31"/>
    <mergeCell ref="I32:J32"/>
    <mergeCell ref="I33:J33"/>
    <mergeCell ref="I34:J34"/>
    <mergeCell ref="I35:J35"/>
    <mergeCell ref="I36:J36"/>
    <mergeCell ref="I37:J37"/>
    <mergeCell ref="I50:J50"/>
    <mergeCell ref="I39:J39"/>
    <mergeCell ref="I40:J40"/>
    <mergeCell ref="I41:J41"/>
    <mergeCell ref="I42:J42"/>
    <mergeCell ref="I43:J43"/>
    <mergeCell ref="I44:J44"/>
    <mergeCell ref="I45:J45"/>
    <mergeCell ref="I46:J46"/>
    <mergeCell ref="I47:J47"/>
    <mergeCell ref="I48:J48"/>
    <mergeCell ref="I49:J49"/>
    <mergeCell ref="H64:K64"/>
    <mergeCell ref="I51:J51"/>
    <mergeCell ref="I52:J52"/>
    <mergeCell ref="I53:J53"/>
    <mergeCell ref="I54:J54"/>
    <mergeCell ref="I55:J55"/>
    <mergeCell ref="I56:J56"/>
    <mergeCell ref="I57:J57"/>
    <mergeCell ref="I58:J58"/>
    <mergeCell ref="H60:K60"/>
    <mergeCell ref="H61:K61"/>
    <mergeCell ref="H62:K62"/>
    <mergeCell ref="J67:K67"/>
    <mergeCell ref="A70:D70"/>
    <mergeCell ref="I70:K70"/>
    <mergeCell ref="A73:D73"/>
    <mergeCell ref="I73:K73"/>
  </mergeCells>
  <pageMargins left="0.31496062992125984" right="0.31496062992125984" top="0.55118110236220474" bottom="0.31496062992125984" header="0" footer="0.11811023622047245"/>
  <pageSetup paperSize="9" orientation="landscape" verticalDpi="300" r:id="rId1"/>
  <headerFooter differentFirst="1">
    <oddFooter>&amp;R&amp;"Times New Roman,курсив"&amp;8Стр. &amp;P из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Лист5">
    <tabColor rgb="FF00B050"/>
  </sheetPr>
  <dimension ref="A1:BO107"/>
  <sheetViews>
    <sheetView topLeftCell="A6" workbookViewId="0">
      <selection activeCell="B15" sqref="B15:C15"/>
    </sheetView>
  </sheetViews>
  <sheetFormatPr defaultColWidth="9.14453125" defaultRowHeight="15"/>
  <cols>
    <col min="1" max="1" width="2.6875" style="232" customWidth="1"/>
    <col min="2" max="2" width="6.58984375" style="232" customWidth="1"/>
    <col min="3" max="3" width="11.02734375" style="232" customWidth="1"/>
    <col min="4" max="4" width="11.703125" style="232" customWidth="1"/>
    <col min="5" max="5" width="6.3203125" style="232" customWidth="1"/>
    <col min="6" max="6" width="8.609375" style="232" customWidth="1"/>
    <col min="7" max="7" width="4.4375" style="232" customWidth="1"/>
    <col min="8" max="8" width="11.02734375" style="232" customWidth="1"/>
    <col min="9" max="10" width="2.6875" style="232" customWidth="1"/>
    <col min="11" max="11" width="4.70703125" style="232" customWidth="1"/>
    <col min="12" max="12" width="2.15234375" style="232" customWidth="1"/>
    <col min="13" max="13" width="5.109375" style="232" customWidth="1"/>
    <col min="14" max="14" width="2.015625" style="232" bestFit="1" customWidth="1"/>
    <col min="15" max="15" width="4.83984375" style="232" bestFit="1" customWidth="1"/>
    <col min="16" max="16" width="2.015625" style="232" bestFit="1" customWidth="1"/>
    <col min="17" max="17" width="6.1875" style="232" bestFit="1" customWidth="1"/>
    <col min="18" max="18" width="2.15234375" style="232" customWidth="1"/>
    <col min="19" max="19" width="6.1875" style="232" bestFit="1" customWidth="1"/>
    <col min="20" max="20" width="2.28515625" style="232" customWidth="1"/>
    <col min="21" max="21" width="7.53125" style="232" bestFit="1" customWidth="1"/>
    <col min="22" max="22" width="2.015625" style="232" customWidth="1"/>
    <col min="23" max="23" width="6.9921875" style="232" bestFit="1" customWidth="1"/>
    <col min="24" max="24" width="2.015625" style="232" bestFit="1" customWidth="1"/>
    <col min="25" max="25" width="6.9921875" style="232" bestFit="1" customWidth="1"/>
    <col min="26" max="26" width="2.41796875" style="232" customWidth="1"/>
    <col min="27" max="27" width="5.91796875" style="232" customWidth="1"/>
    <col min="28" max="28" width="2.28515625" style="232" customWidth="1"/>
    <col min="29" max="29" width="5.91796875" style="232" customWidth="1"/>
    <col min="30" max="30" width="2.41796875" style="232" customWidth="1"/>
    <col min="31" max="31" width="5.91796875" style="232" customWidth="1"/>
    <col min="32" max="32" width="2.41796875" style="232" customWidth="1"/>
    <col min="33" max="33" width="5.91796875" style="232" customWidth="1"/>
    <col min="34" max="34" width="2.015625" style="232" bestFit="1" customWidth="1"/>
    <col min="35" max="35" width="6.45703125" style="232" customWidth="1"/>
    <col min="36" max="36" width="2.15234375" style="232" customWidth="1"/>
    <col min="37" max="37" width="5.91796875" style="232" customWidth="1"/>
    <col min="38" max="38" width="2.015625" style="232" bestFit="1" customWidth="1"/>
    <col min="39" max="39" width="5.91796875" style="232" customWidth="1"/>
    <col min="40" max="40" width="2.015625" style="232" bestFit="1" customWidth="1"/>
    <col min="41" max="41" width="5.91796875" style="232" customWidth="1"/>
    <col min="42" max="42" width="2.015625" style="232" bestFit="1" customWidth="1"/>
    <col min="43" max="43" width="6.3203125" style="232" customWidth="1"/>
    <col min="44" max="44" width="2.5546875" style="232" customWidth="1"/>
    <col min="45" max="45" width="7.12890625" style="232" customWidth="1"/>
    <col min="46" max="46" width="2.6875" style="232" customWidth="1"/>
    <col min="47" max="47" width="6.1875" style="232" customWidth="1"/>
    <col min="48" max="16384" width="9.14453125" style="232"/>
  </cols>
  <sheetData>
    <row r="1" spans="1:47" ht="18">
      <c r="A1" s="13"/>
      <c r="B1" s="211" t="s">
        <v>252</v>
      </c>
      <c r="C1" s="2"/>
      <c r="D1" s="104"/>
      <c r="E1" s="4"/>
      <c r="F1" s="4"/>
      <c r="G1" s="2"/>
      <c r="H1" s="2"/>
      <c r="I1" s="2"/>
      <c r="J1" s="2"/>
      <c r="K1" s="2"/>
      <c r="L1" s="60"/>
      <c r="M1" s="60"/>
      <c r="N1" s="60"/>
      <c r="O1" s="60"/>
      <c r="P1" s="58"/>
      <c r="Q1" s="58"/>
      <c r="R1" s="58"/>
      <c r="S1" s="58"/>
      <c r="T1" s="59"/>
      <c r="U1" s="59"/>
      <c r="V1" s="59"/>
      <c r="W1" s="59"/>
      <c r="X1" s="60"/>
      <c r="Y1" s="60"/>
      <c r="Z1" s="60"/>
      <c r="AA1" s="60"/>
      <c r="AB1" s="60"/>
      <c r="AC1" s="60"/>
      <c r="AD1" s="60"/>
      <c r="AE1" s="102"/>
      <c r="AF1" s="102"/>
      <c r="AG1" s="102"/>
      <c r="AH1" s="102"/>
      <c r="AI1" s="102"/>
      <c r="AJ1" s="102"/>
      <c r="AK1" s="90"/>
      <c r="AL1" s="182"/>
      <c r="AM1" s="90"/>
      <c r="AN1" s="182"/>
      <c r="AO1" s="59"/>
      <c r="AP1" s="3"/>
      <c r="AQ1" s="3"/>
      <c r="AR1" s="3"/>
    </row>
    <row r="2" spans="1:47" s="334" customFormat="1">
      <c r="A2" s="335"/>
      <c r="B2" s="336" t="s">
        <v>255</v>
      </c>
      <c r="C2" s="336"/>
      <c r="D2" s="337"/>
      <c r="E2" s="338"/>
      <c r="F2" s="338"/>
      <c r="G2" s="336"/>
      <c r="H2" s="336"/>
      <c r="I2" s="336"/>
      <c r="J2" s="336"/>
      <c r="K2" s="336"/>
      <c r="L2" s="339"/>
      <c r="M2" s="339"/>
      <c r="N2" s="339"/>
      <c r="O2" s="339"/>
      <c r="P2" s="340"/>
      <c r="Q2" s="340"/>
      <c r="R2" s="340"/>
      <c r="S2" s="340"/>
      <c r="T2" s="341"/>
      <c r="U2" s="341"/>
      <c r="V2" s="341"/>
      <c r="W2" s="341"/>
      <c r="X2" s="339"/>
      <c r="Y2" s="339"/>
      <c r="Z2" s="339"/>
      <c r="AA2" s="339"/>
      <c r="AB2" s="339"/>
      <c r="AC2" s="339"/>
      <c r="AD2" s="339"/>
      <c r="AE2" s="342"/>
      <c r="AF2" s="346"/>
      <c r="AG2" s="346"/>
      <c r="AH2" s="346"/>
      <c r="AI2" s="346"/>
      <c r="AJ2" s="346"/>
      <c r="AK2" s="347"/>
      <c r="AL2" s="348"/>
      <c r="AM2" s="347"/>
      <c r="AN2" s="348"/>
      <c r="AO2" s="510"/>
      <c r="AP2" s="511"/>
      <c r="AQ2" s="333"/>
      <c r="AR2" s="333"/>
    </row>
    <row r="3" spans="1:47" s="334" customFormat="1">
      <c r="A3" s="335"/>
      <c r="B3" s="336" t="s">
        <v>253</v>
      </c>
      <c r="C3" s="336"/>
      <c r="D3" s="337"/>
      <c r="E3" s="338"/>
      <c r="F3" s="338"/>
      <c r="G3" s="336"/>
      <c r="H3" s="336"/>
      <c r="I3" s="336"/>
      <c r="J3" s="336"/>
      <c r="K3" s="336"/>
      <c r="L3" s="339"/>
      <c r="M3" s="339"/>
      <c r="N3" s="339"/>
      <c r="O3" s="339"/>
      <c r="P3" s="340"/>
      <c r="Q3" s="340"/>
      <c r="R3" s="340"/>
      <c r="S3" s="340"/>
      <c r="T3" s="341"/>
      <c r="U3" s="341"/>
      <c r="V3" s="341"/>
      <c r="W3" s="341"/>
      <c r="X3" s="339"/>
      <c r="Y3" s="339"/>
      <c r="Z3" s="339"/>
      <c r="AA3" s="339"/>
      <c r="AB3" s="339"/>
      <c r="AC3" s="339"/>
      <c r="AD3" s="339"/>
      <c r="AE3" s="342"/>
      <c r="AF3" s="346"/>
      <c r="AG3" s="346"/>
      <c r="AH3" s="346"/>
      <c r="AI3" s="346"/>
      <c r="AJ3" s="346"/>
      <c r="AK3" s="347"/>
      <c r="AL3" s="348"/>
      <c r="AM3" s="347"/>
      <c r="AN3" s="348"/>
      <c r="AO3" s="510"/>
      <c r="AP3" s="511"/>
      <c r="AQ3" s="333"/>
      <c r="AR3" s="333"/>
    </row>
    <row r="4" spans="1:47" s="334" customFormat="1">
      <c r="A4" s="335"/>
      <c r="B4" s="1732" t="s">
        <v>256</v>
      </c>
      <c r="C4" s="1732"/>
      <c r="D4" s="1732"/>
      <c r="E4" s="1732"/>
      <c r="F4" s="1732"/>
      <c r="G4" s="1732"/>
      <c r="H4" s="1732"/>
      <c r="I4" s="1732"/>
      <c r="J4" s="1732"/>
      <c r="K4" s="1732"/>
      <c r="L4" s="1732"/>
      <c r="M4" s="1732"/>
      <c r="N4" s="1732"/>
      <c r="O4" s="1732"/>
      <c r="P4" s="1732"/>
      <c r="Q4" s="1732"/>
      <c r="R4" s="1732"/>
      <c r="S4" s="1732"/>
      <c r="T4" s="1732"/>
      <c r="U4" s="1732"/>
      <c r="V4" s="1732"/>
      <c r="W4" s="1732"/>
      <c r="X4" s="1732"/>
      <c r="Y4" s="1732"/>
      <c r="Z4" s="1732"/>
      <c r="AA4" s="1732"/>
      <c r="AB4" s="1732"/>
      <c r="AC4" s="1732"/>
      <c r="AD4" s="339"/>
      <c r="AE4" s="342"/>
      <c r="AF4" s="346"/>
      <c r="AG4" s="346"/>
      <c r="AH4" s="346"/>
      <c r="AI4" s="346"/>
      <c r="AJ4" s="346"/>
      <c r="AK4" s="347"/>
      <c r="AL4" s="348"/>
      <c r="AM4" s="347"/>
      <c r="AN4" s="348"/>
      <c r="AO4" s="510"/>
      <c r="AP4" s="511"/>
      <c r="AQ4" s="333"/>
      <c r="AR4" s="333"/>
    </row>
    <row r="5" spans="1:47" s="334" customFormat="1" ht="27" customHeight="1">
      <c r="A5" s="335"/>
      <c r="B5" s="1732"/>
      <c r="C5" s="1732"/>
      <c r="D5" s="1732"/>
      <c r="E5" s="1732"/>
      <c r="F5" s="1732"/>
      <c r="G5" s="1732"/>
      <c r="H5" s="1732"/>
      <c r="I5" s="1732"/>
      <c r="J5" s="1732"/>
      <c r="K5" s="1732"/>
      <c r="L5" s="1732"/>
      <c r="M5" s="1732"/>
      <c r="N5" s="1732"/>
      <c r="O5" s="1732"/>
      <c r="P5" s="1732"/>
      <c r="Q5" s="1732"/>
      <c r="R5" s="1732"/>
      <c r="S5" s="1732"/>
      <c r="T5" s="1732"/>
      <c r="U5" s="1732"/>
      <c r="V5" s="1732"/>
      <c r="W5" s="1732"/>
      <c r="X5" s="1732"/>
      <c r="Y5" s="1732"/>
      <c r="Z5" s="1732"/>
      <c r="AA5" s="1732"/>
      <c r="AB5" s="1732"/>
      <c r="AC5" s="1732"/>
      <c r="AD5" s="339"/>
      <c r="AE5" s="342"/>
      <c r="AF5" s="346"/>
      <c r="AG5" s="346"/>
      <c r="AH5" s="346"/>
      <c r="AI5" s="346"/>
      <c r="AJ5" s="346"/>
      <c r="AK5" s="347"/>
      <c r="AL5" s="348"/>
      <c r="AM5" s="347"/>
      <c r="AN5" s="348"/>
      <c r="AO5" s="510"/>
      <c r="AP5" s="511"/>
      <c r="AQ5" s="333"/>
      <c r="AR5" s="333"/>
    </row>
    <row r="6" spans="1:47" s="334" customFormat="1">
      <c r="A6" s="335"/>
      <c r="B6" s="336" t="s">
        <v>254</v>
      </c>
      <c r="C6" s="336"/>
      <c r="D6" s="337"/>
      <c r="E6" s="338"/>
      <c r="F6" s="338"/>
      <c r="G6" s="336"/>
      <c r="H6" s="336"/>
      <c r="I6" s="336"/>
      <c r="J6" s="336"/>
      <c r="K6" s="336"/>
      <c r="L6" s="339"/>
      <c r="M6" s="339"/>
      <c r="N6" s="339"/>
      <c r="O6" s="339"/>
      <c r="P6" s="340"/>
      <c r="Q6" s="340"/>
      <c r="R6" s="340"/>
      <c r="S6" s="340"/>
      <c r="T6" s="341"/>
      <c r="U6" s="341"/>
      <c r="V6" s="341"/>
      <c r="W6" s="341"/>
      <c r="X6" s="339"/>
      <c r="Y6" s="339"/>
      <c r="Z6" s="339"/>
      <c r="AA6" s="339"/>
      <c r="AB6" s="339"/>
      <c r="AC6" s="339"/>
      <c r="AD6" s="339"/>
      <c r="AE6" s="342"/>
      <c r="AF6" s="346"/>
      <c r="AG6" s="346"/>
      <c r="AH6" s="346"/>
      <c r="AI6" s="346"/>
      <c r="AJ6" s="346"/>
      <c r="AK6" s="347"/>
      <c r="AL6" s="348"/>
      <c r="AM6" s="347"/>
      <c r="AN6" s="348"/>
      <c r="AO6" s="510"/>
      <c r="AP6" s="511"/>
      <c r="AQ6" s="333"/>
      <c r="AR6" s="333"/>
    </row>
    <row r="7" spans="1:47" s="334" customFormat="1">
      <c r="A7" s="335"/>
      <c r="B7" s="1732" t="s">
        <v>415</v>
      </c>
      <c r="C7" s="1732"/>
      <c r="D7" s="1732"/>
      <c r="E7" s="1732"/>
      <c r="F7" s="1732"/>
      <c r="G7" s="1732"/>
      <c r="H7" s="1732"/>
      <c r="I7" s="1732"/>
      <c r="J7" s="1732"/>
      <c r="K7" s="1732"/>
      <c r="L7" s="1732"/>
      <c r="M7" s="1732"/>
      <c r="N7" s="1732"/>
      <c r="O7" s="1732"/>
      <c r="P7" s="1732"/>
      <c r="Q7" s="1732"/>
      <c r="R7" s="1732"/>
      <c r="S7" s="1732"/>
      <c r="T7" s="1732"/>
      <c r="U7" s="1732"/>
      <c r="V7" s="1732"/>
      <c r="W7" s="1732"/>
      <c r="X7" s="1732"/>
      <c r="Y7" s="1732"/>
      <c r="Z7" s="1732"/>
      <c r="AA7" s="1732"/>
      <c r="AB7" s="1732"/>
      <c r="AC7" s="1732"/>
      <c r="AD7" s="339"/>
      <c r="AE7" s="342"/>
      <c r="AF7" s="346"/>
      <c r="AG7" s="346"/>
      <c r="AH7" s="346"/>
      <c r="AI7" s="346"/>
      <c r="AJ7" s="346"/>
      <c r="AK7" s="347"/>
      <c r="AL7" s="348"/>
      <c r="AM7" s="347"/>
      <c r="AN7" s="348"/>
      <c r="AO7" s="510"/>
      <c r="AP7" s="511"/>
      <c r="AQ7" s="333"/>
      <c r="AR7" s="333"/>
    </row>
    <row r="8" spans="1:47" s="334" customFormat="1" ht="35.25" customHeight="1">
      <c r="A8" s="335"/>
      <c r="B8" s="1732"/>
      <c r="C8" s="1732"/>
      <c r="D8" s="1732"/>
      <c r="E8" s="1732"/>
      <c r="F8" s="1732"/>
      <c r="G8" s="1732"/>
      <c r="H8" s="1732"/>
      <c r="I8" s="1732"/>
      <c r="J8" s="1732"/>
      <c r="K8" s="1732"/>
      <c r="L8" s="1732"/>
      <c r="M8" s="1732"/>
      <c r="N8" s="1732"/>
      <c r="O8" s="1732"/>
      <c r="P8" s="1732"/>
      <c r="Q8" s="1732"/>
      <c r="R8" s="1732"/>
      <c r="S8" s="1732"/>
      <c r="T8" s="1732"/>
      <c r="U8" s="1732"/>
      <c r="V8" s="1732"/>
      <c r="W8" s="1732"/>
      <c r="X8" s="1732"/>
      <c r="Y8" s="1732"/>
      <c r="Z8" s="1732"/>
      <c r="AA8" s="1732"/>
      <c r="AB8" s="1732"/>
      <c r="AC8" s="1732"/>
      <c r="AD8" s="339"/>
      <c r="AE8" s="342"/>
      <c r="AF8" s="346"/>
      <c r="AG8" s="346"/>
      <c r="AH8" s="346"/>
      <c r="AI8" s="346"/>
      <c r="AJ8" s="346"/>
      <c r="AK8" s="347"/>
      <c r="AL8" s="348"/>
      <c r="AM8" s="347"/>
      <c r="AN8" s="348"/>
      <c r="AO8" s="510"/>
      <c r="AP8" s="511"/>
      <c r="AQ8" s="333"/>
      <c r="AR8" s="333"/>
    </row>
    <row r="9" spans="1:47" ht="12.75" customHeight="1" thickBot="1">
      <c r="A9" s="13"/>
      <c r="B9" s="2"/>
      <c r="C9" s="2"/>
      <c r="D9" s="104"/>
      <c r="F9" s="4"/>
      <c r="G9" s="2"/>
      <c r="H9" s="2"/>
      <c r="I9" s="2"/>
      <c r="J9" s="2"/>
      <c r="K9" s="2"/>
      <c r="L9" s="60"/>
      <c r="M9" s="60"/>
      <c r="N9" s="60"/>
      <c r="O9" s="60"/>
      <c r="P9" s="58"/>
      <c r="Q9" s="58"/>
      <c r="R9" s="58"/>
      <c r="S9" s="58"/>
      <c r="T9" s="59"/>
      <c r="U9" s="59"/>
      <c r="V9" s="59"/>
      <c r="W9" s="59"/>
      <c r="X9" s="60"/>
      <c r="Y9" s="60"/>
      <c r="Z9" s="60"/>
      <c r="AA9" s="60"/>
      <c r="AB9" s="60"/>
      <c r="AC9" s="60"/>
      <c r="AD9" s="60"/>
      <c r="AE9" s="102"/>
      <c r="AF9" s="102"/>
      <c r="AG9" s="102"/>
      <c r="AH9" s="102"/>
      <c r="AI9" s="102"/>
      <c r="AJ9" s="102"/>
      <c r="AK9" s="102"/>
      <c r="AL9" s="102"/>
      <c r="AM9" s="182"/>
      <c r="AN9" s="90"/>
      <c r="AO9" s="182"/>
      <c r="AP9" s="90"/>
      <c r="AQ9" s="182"/>
      <c r="AR9" s="59"/>
      <c r="AS9" s="3"/>
      <c r="AT9" s="3"/>
      <c r="AU9" s="3"/>
    </row>
    <row r="10" spans="1:47" ht="15.75" customHeight="1">
      <c r="A10" s="221"/>
      <c r="B10" s="222" t="s">
        <v>241</v>
      </c>
      <c r="C10" s="223"/>
      <c r="D10" s="223"/>
      <c r="E10" s="224"/>
      <c r="F10" s="241"/>
      <c r="G10" s="223"/>
      <c r="H10" s="1733" t="s">
        <v>251</v>
      </c>
      <c r="I10" s="1734"/>
      <c r="J10" s="1734"/>
      <c r="K10" s="1734"/>
      <c r="L10" s="1734"/>
      <c r="M10" s="1734"/>
      <c r="N10" s="1734"/>
      <c r="O10" s="1735"/>
      <c r="P10" s="1736" t="s">
        <v>354</v>
      </c>
      <c r="Q10" s="1737"/>
      <c r="R10" s="1737"/>
      <c r="S10" s="1737"/>
      <c r="T10" s="1738"/>
      <c r="U10" s="1742" t="s">
        <v>352</v>
      </c>
      <c r="V10" s="1743"/>
      <c r="W10" s="1743"/>
      <c r="X10" s="1743"/>
      <c r="Y10" s="1743"/>
      <c r="Z10" s="1743"/>
      <c r="AA10" s="1743"/>
      <c r="AB10" s="1743"/>
      <c r="AC10" s="1744"/>
      <c r="AD10" s="1786" t="s">
        <v>250</v>
      </c>
      <c r="AE10" s="1787"/>
      <c r="AF10" s="1787"/>
      <c r="AG10" s="1787"/>
      <c r="AH10" s="1787"/>
      <c r="AI10" s="1788"/>
      <c r="AJ10" s="1788"/>
      <c r="AK10" s="1787"/>
      <c r="AL10" s="1787"/>
      <c r="AM10" s="1787"/>
      <c r="AN10" s="1787"/>
      <c r="AO10" s="1787"/>
      <c r="AP10" s="1789"/>
      <c r="AQ10" s="89"/>
      <c r="AR10" s="3"/>
      <c r="AS10" s="3"/>
      <c r="AT10" s="3"/>
    </row>
    <row r="11" spans="1:47" ht="18" customHeight="1" thickBot="1">
      <c r="A11" s="221"/>
      <c r="B11" s="228" t="s">
        <v>226</v>
      </c>
      <c r="C11" s="229"/>
      <c r="D11" s="230" t="s">
        <v>227</v>
      </c>
      <c r="E11" s="225">
        <v>7</v>
      </c>
      <c r="F11" s="230" t="s">
        <v>229</v>
      </c>
      <c r="G11" s="343">
        <v>3</v>
      </c>
      <c r="H11" s="323" t="s">
        <v>23</v>
      </c>
      <c r="I11" s="1757" t="s">
        <v>29</v>
      </c>
      <c r="J11" s="1758"/>
      <c r="K11" s="1759"/>
      <c r="L11" s="1757" t="s">
        <v>14</v>
      </c>
      <c r="M11" s="1759"/>
      <c r="N11" s="1757" t="s">
        <v>11</v>
      </c>
      <c r="O11" s="1760"/>
      <c r="P11" s="1739"/>
      <c r="Q11" s="1740"/>
      <c r="R11" s="1740"/>
      <c r="S11" s="1740"/>
      <c r="T11" s="1741"/>
      <c r="U11" s="1745"/>
      <c r="V11" s="1746"/>
      <c r="W11" s="1746"/>
      <c r="X11" s="1746"/>
      <c r="Y11" s="1746"/>
      <c r="Z11" s="1746"/>
      <c r="AA11" s="1746"/>
      <c r="AB11" s="1746"/>
      <c r="AC11" s="1747"/>
      <c r="AD11" s="1790"/>
      <c r="AE11" s="1791"/>
      <c r="AF11" s="1791"/>
      <c r="AG11" s="1791"/>
      <c r="AH11" s="1791"/>
      <c r="AI11" s="1791"/>
      <c r="AJ11" s="1791"/>
      <c r="AK11" s="1791"/>
      <c r="AL11" s="1791"/>
      <c r="AM11" s="1791"/>
      <c r="AN11" s="1791"/>
      <c r="AO11" s="1791"/>
      <c r="AP11" s="1792"/>
      <c r="AQ11" s="219"/>
      <c r="AR11" s="3"/>
      <c r="AS11" s="3"/>
      <c r="AT11" s="3"/>
    </row>
    <row r="12" spans="1:47" ht="18" customHeight="1">
      <c r="A12" s="221"/>
      <c r="B12" s="223"/>
      <c r="C12" s="229"/>
      <c r="D12" s="230" t="s">
        <v>228</v>
      </c>
      <c r="E12" s="225">
        <v>7</v>
      </c>
      <c r="F12" s="230" t="s">
        <v>12</v>
      </c>
      <c r="G12" s="343">
        <v>2</v>
      </c>
      <c r="H12" s="323" t="s">
        <v>25</v>
      </c>
      <c r="I12" s="1757" t="s">
        <v>1</v>
      </c>
      <c r="J12" s="1758"/>
      <c r="K12" s="1759"/>
      <c r="L12" s="1757" t="s">
        <v>35</v>
      </c>
      <c r="M12" s="1759"/>
      <c r="N12" s="1757" t="s">
        <v>15</v>
      </c>
      <c r="O12" s="1760"/>
      <c r="P12" s="1736" t="s">
        <v>353</v>
      </c>
      <c r="Q12" s="1737"/>
      <c r="R12" s="1737"/>
      <c r="S12" s="1737"/>
      <c r="T12" s="1738"/>
      <c r="U12" s="1742" t="s">
        <v>359</v>
      </c>
      <c r="V12" s="1743"/>
      <c r="W12" s="1743"/>
      <c r="X12" s="1743"/>
      <c r="Y12" s="1743"/>
      <c r="Z12" s="1743"/>
      <c r="AA12" s="1743"/>
      <c r="AB12" s="1743"/>
      <c r="AC12" s="1744"/>
      <c r="AD12" s="1790"/>
      <c r="AE12" s="1791"/>
      <c r="AF12" s="1791"/>
      <c r="AG12" s="1791"/>
      <c r="AH12" s="1791"/>
      <c r="AI12" s="1791"/>
      <c r="AJ12" s="1791"/>
      <c r="AK12" s="1791"/>
      <c r="AL12" s="1791"/>
      <c r="AM12" s="1791"/>
      <c r="AN12" s="1791"/>
      <c r="AO12" s="1791"/>
      <c r="AP12" s="1792"/>
      <c r="AQ12" s="89"/>
      <c r="AR12" s="3"/>
      <c r="AS12" s="3"/>
      <c r="AT12" s="3"/>
    </row>
    <row r="13" spans="1:47" ht="18" customHeight="1" thickBot="1">
      <c r="A13" s="221"/>
      <c r="B13" s="242"/>
      <c r="C13" s="221" t="s">
        <v>240</v>
      </c>
      <c r="D13" s="296" t="s">
        <v>242</v>
      </c>
      <c r="E13" s="344">
        <v>18</v>
      </c>
      <c r="F13" s="296" t="s">
        <v>243</v>
      </c>
      <c r="G13" s="227"/>
      <c r="H13" s="345" t="s">
        <v>27</v>
      </c>
      <c r="I13" s="1761" t="s">
        <v>13</v>
      </c>
      <c r="J13" s="1762"/>
      <c r="K13" s="1763"/>
      <c r="L13" s="1761" t="s">
        <v>10</v>
      </c>
      <c r="M13" s="1763"/>
      <c r="N13" s="1761"/>
      <c r="O13" s="1764"/>
      <c r="P13" s="1739"/>
      <c r="Q13" s="1740"/>
      <c r="R13" s="1740"/>
      <c r="S13" s="1740"/>
      <c r="T13" s="1741"/>
      <c r="U13" s="1745"/>
      <c r="V13" s="1746"/>
      <c r="W13" s="1746"/>
      <c r="X13" s="1746"/>
      <c r="Y13" s="1746"/>
      <c r="Z13" s="1746"/>
      <c r="AA13" s="1746"/>
      <c r="AB13" s="1746"/>
      <c r="AC13" s="1747"/>
      <c r="AD13" s="1793"/>
      <c r="AE13" s="1794"/>
      <c r="AF13" s="1794"/>
      <c r="AG13" s="1794"/>
      <c r="AH13" s="1794"/>
      <c r="AI13" s="1794"/>
      <c r="AJ13" s="1794"/>
      <c r="AK13" s="1794"/>
      <c r="AL13" s="1794"/>
      <c r="AM13" s="1794"/>
      <c r="AN13" s="1794"/>
      <c r="AO13" s="1794"/>
      <c r="AP13" s="1795"/>
      <c r="AQ13" s="59"/>
      <c r="AR13" s="3"/>
      <c r="AS13" s="3"/>
      <c r="AT13" s="3"/>
    </row>
    <row r="14" spans="1:47" ht="25.5">
      <c r="A14" s="1713" t="s">
        <v>105</v>
      </c>
      <c r="B14" s="1713"/>
      <c r="C14" s="1713"/>
      <c r="D14" s="1713"/>
      <c r="E14" s="1713"/>
      <c r="F14" s="1713"/>
      <c r="G14" s="1713"/>
      <c r="H14" s="1713"/>
      <c r="I14" s="1713"/>
      <c r="J14" s="1713"/>
      <c r="K14" s="1713"/>
      <c r="L14" s="1713"/>
      <c r="M14" s="1713"/>
      <c r="N14" s="1713"/>
      <c r="O14" s="1713"/>
      <c r="P14" s="1713"/>
      <c r="Q14" s="1713"/>
      <c r="R14" s="1713"/>
      <c r="S14" s="1713"/>
      <c r="T14" s="1713"/>
      <c r="U14" s="1713"/>
      <c r="V14" s="1713"/>
      <c r="W14" s="1713"/>
      <c r="X14" s="1713"/>
      <c r="Y14" s="1713"/>
      <c r="Z14" s="1713"/>
      <c r="AA14" s="1713"/>
      <c r="AB14" s="1713"/>
      <c r="AC14" s="1713"/>
      <c r="AD14" s="1713"/>
      <c r="AE14" s="1713"/>
      <c r="AF14" s="1713"/>
      <c r="AG14" s="1713"/>
      <c r="AH14" s="1713"/>
      <c r="AI14" s="1713"/>
      <c r="AJ14" s="1713"/>
      <c r="AK14" s="1713"/>
      <c r="AL14" s="1713"/>
      <c r="AM14" s="1713"/>
      <c r="AN14" s="1713"/>
      <c r="AO14" s="1713"/>
      <c r="AP14" s="1713"/>
      <c r="AQ14" s="231"/>
      <c r="AR14" s="231"/>
      <c r="AS14" s="3"/>
      <c r="AT14" s="3"/>
      <c r="AU14" s="3"/>
    </row>
    <row r="15" spans="1:47" ht="15.75" customHeight="1">
      <c r="A15" s="1"/>
      <c r="B15" s="2"/>
      <c r="C15" s="233"/>
      <c r="D15" s="234" t="s">
        <v>106</v>
      </c>
      <c r="E15" s="235" t="s">
        <v>357</v>
      </c>
      <c r="F15" s="235"/>
      <c r="G15" s="233"/>
      <c r="H15" s="233"/>
      <c r="I15" s="233"/>
      <c r="J15" s="233"/>
      <c r="K15" s="233"/>
      <c r="L15" s="236"/>
      <c r="M15" s="236"/>
      <c r="N15" s="236"/>
      <c r="O15" s="236"/>
      <c r="P15" s="236"/>
      <c r="Q15" s="236"/>
      <c r="R15" s="236"/>
      <c r="S15" s="236"/>
      <c r="T15" s="236"/>
      <c r="U15" s="236"/>
      <c r="V15" s="236"/>
      <c r="W15" s="236"/>
      <c r="X15" s="60"/>
      <c r="Y15" s="60"/>
      <c r="Z15" s="60"/>
      <c r="AA15" s="60"/>
      <c r="AH15" s="60"/>
      <c r="AI15" s="60"/>
      <c r="AJ15" s="60"/>
      <c r="AL15" s="60"/>
      <c r="AR15" s="59"/>
      <c r="AS15" s="3"/>
      <c r="AT15" s="3"/>
      <c r="AU15" s="3"/>
    </row>
    <row r="16" spans="1:47" ht="15.75" customHeight="1">
      <c r="A16" s="1"/>
      <c r="B16" s="2"/>
      <c r="C16" s="233"/>
      <c r="D16" s="234" t="s">
        <v>107</v>
      </c>
      <c r="E16" s="237" t="s">
        <v>360</v>
      </c>
      <c r="F16" s="235"/>
      <c r="G16" s="233"/>
      <c r="H16" s="233"/>
      <c r="I16" s="233"/>
      <c r="J16" s="233"/>
      <c r="K16" s="233"/>
      <c r="L16" s="236"/>
      <c r="M16" s="236"/>
      <c r="N16" s="236"/>
      <c r="O16" s="236"/>
      <c r="P16" s="236"/>
      <c r="Q16" s="236"/>
      <c r="R16" s="236"/>
      <c r="S16" s="236"/>
      <c r="T16" s="236"/>
      <c r="U16" s="236"/>
      <c r="V16" s="236"/>
      <c r="W16" s="236"/>
      <c r="X16" s="60"/>
      <c r="Y16" s="60"/>
      <c r="Z16" s="60"/>
      <c r="AA16" s="60"/>
      <c r="AD16" s="192"/>
      <c r="AG16" s="60"/>
      <c r="AH16" s="125"/>
      <c r="AI16" s="125"/>
      <c r="AJ16" s="125"/>
      <c r="AK16" s="60"/>
      <c r="AL16" s="60"/>
      <c r="AR16" s="59"/>
      <c r="AS16" s="3"/>
      <c r="AT16" s="3"/>
      <c r="AU16" s="3"/>
    </row>
    <row r="17" spans="1:51" ht="15.75" customHeight="1">
      <c r="A17" s="1"/>
      <c r="B17" s="85"/>
      <c r="C17" s="85"/>
      <c r="D17" s="85"/>
      <c r="E17" s="86" t="s">
        <v>108</v>
      </c>
      <c r="G17" s="238" t="s">
        <v>355</v>
      </c>
      <c r="H17" s="87"/>
      <c r="I17" s="87"/>
      <c r="J17" s="87"/>
      <c r="K17" s="87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39"/>
      <c r="AJ17" s="839"/>
      <c r="AK17" s="88"/>
      <c r="AL17" s="88"/>
      <c r="AM17" s="239"/>
      <c r="AN17" s="240"/>
      <c r="AO17" s="240"/>
      <c r="AP17" s="240"/>
      <c r="AQ17" s="318"/>
      <c r="AR17" s="89"/>
      <c r="AS17" s="3"/>
      <c r="AT17" s="3"/>
      <c r="AU17" s="3"/>
    </row>
    <row r="18" spans="1:51" ht="6" customHeight="1" thickBot="1">
      <c r="A18" s="1"/>
      <c r="B18" s="85"/>
      <c r="C18" s="85"/>
      <c r="D18" s="85"/>
      <c r="E18" s="86"/>
      <c r="G18" s="238"/>
      <c r="H18" s="85"/>
      <c r="I18" s="85"/>
      <c r="J18" s="85"/>
      <c r="K18" s="85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317"/>
      <c r="AN18" s="318"/>
      <c r="AO18" s="318"/>
      <c r="AP18" s="318"/>
      <c r="AQ18" s="318"/>
      <c r="AR18" s="89"/>
      <c r="AS18" s="3"/>
      <c r="AT18" s="3"/>
      <c r="AU18" s="3"/>
    </row>
    <row r="19" spans="1:51" ht="21" customHeight="1" thickBot="1">
      <c r="A19" s="1714" t="s">
        <v>0</v>
      </c>
      <c r="B19" s="1709" t="s">
        <v>82</v>
      </c>
      <c r="C19" s="1716" t="s">
        <v>9</v>
      </c>
      <c r="D19" s="1716"/>
      <c r="E19" s="1718" t="s">
        <v>230</v>
      </c>
      <c r="F19" s="1720" t="s">
        <v>6</v>
      </c>
      <c r="G19" s="1722" t="s">
        <v>83</v>
      </c>
      <c r="H19" s="1724" t="s">
        <v>7</v>
      </c>
      <c r="I19" s="1783" t="s">
        <v>225</v>
      </c>
      <c r="J19" s="1728" t="s">
        <v>109</v>
      </c>
      <c r="K19" s="1711" t="s">
        <v>84</v>
      </c>
      <c r="L19" s="1712"/>
      <c r="M19" s="1712"/>
      <c r="N19" s="1782"/>
      <c r="O19" s="1712" t="s">
        <v>85</v>
      </c>
      <c r="P19" s="1712"/>
      <c r="Q19" s="1712"/>
      <c r="R19" s="1712"/>
      <c r="S19" s="1712"/>
      <c r="T19" s="1712"/>
      <c r="U19" s="1712"/>
      <c r="V19" s="1712"/>
      <c r="W19" s="1712"/>
      <c r="X19" s="1712"/>
      <c r="Y19" s="1712"/>
      <c r="Z19" s="1782"/>
      <c r="AA19" s="1711" t="s">
        <v>86</v>
      </c>
      <c r="AB19" s="1712"/>
      <c r="AC19" s="1712"/>
      <c r="AD19" s="1712"/>
      <c r="AE19" s="1711" t="s">
        <v>87</v>
      </c>
      <c r="AF19" s="1712"/>
      <c r="AG19" s="1712"/>
      <c r="AH19" s="1712"/>
      <c r="AI19" s="1712"/>
      <c r="AJ19" s="1712"/>
      <c r="AK19" s="1712"/>
      <c r="AL19" s="1782"/>
      <c r="AM19" s="1730" t="s">
        <v>88</v>
      </c>
      <c r="AN19" s="1785"/>
      <c r="AO19" s="1785"/>
      <c r="AP19" s="1785"/>
      <c r="AQ19" s="1785"/>
      <c r="AR19" s="1785"/>
      <c r="AS19" s="1785"/>
      <c r="AT19" s="1731"/>
      <c r="AU19" s="91"/>
    </row>
    <row r="20" spans="1:51" ht="33" customHeight="1" thickBot="1">
      <c r="A20" s="1715"/>
      <c r="B20" s="1710"/>
      <c r="C20" s="1717"/>
      <c r="D20" s="1717"/>
      <c r="E20" s="1719"/>
      <c r="F20" s="1721"/>
      <c r="G20" s="1723"/>
      <c r="H20" s="1725"/>
      <c r="I20" s="1784"/>
      <c r="J20" s="1729"/>
      <c r="K20" s="407" t="s">
        <v>89</v>
      </c>
      <c r="L20" s="408" t="s">
        <v>337</v>
      </c>
      <c r="M20" s="409" t="s">
        <v>90</v>
      </c>
      <c r="N20" s="410" t="s">
        <v>337</v>
      </c>
      <c r="O20" s="411" t="s">
        <v>90</v>
      </c>
      <c r="P20" s="408" t="s">
        <v>337</v>
      </c>
      <c r="Q20" s="409" t="s">
        <v>91</v>
      </c>
      <c r="R20" s="408" t="s">
        <v>337</v>
      </c>
      <c r="S20" s="409" t="s">
        <v>92</v>
      </c>
      <c r="T20" s="408" t="s">
        <v>337</v>
      </c>
      <c r="U20" s="409" t="s">
        <v>93</v>
      </c>
      <c r="V20" s="408" t="s">
        <v>337</v>
      </c>
      <c r="W20" s="409" t="s">
        <v>94</v>
      </c>
      <c r="X20" s="408" t="s">
        <v>337</v>
      </c>
      <c r="Y20" s="409" t="s">
        <v>95</v>
      </c>
      <c r="Z20" s="410" t="s">
        <v>337</v>
      </c>
      <c r="AA20" s="412" t="s">
        <v>91</v>
      </c>
      <c r="AB20" s="413" t="s">
        <v>337</v>
      </c>
      <c r="AC20" s="414" t="s">
        <v>93</v>
      </c>
      <c r="AD20" s="415" t="s">
        <v>337</v>
      </c>
      <c r="AE20" s="418" t="s">
        <v>90</v>
      </c>
      <c r="AF20" s="413" t="s">
        <v>337</v>
      </c>
      <c r="AG20" s="414" t="s">
        <v>91</v>
      </c>
      <c r="AH20" s="415" t="s">
        <v>337</v>
      </c>
      <c r="AI20" s="416" t="s">
        <v>92</v>
      </c>
      <c r="AJ20" s="415" t="s">
        <v>337</v>
      </c>
      <c r="AK20" s="416" t="s">
        <v>93</v>
      </c>
      <c r="AL20" s="417" t="s">
        <v>337</v>
      </c>
      <c r="AM20" s="844" t="s">
        <v>1058</v>
      </c>
      <c r="AN20" s="420" t="s">
        <v>338</v>
      </c>
      <c r="AO20" s="421" t="s">
        <v>96</v>
      </c>
      <c r="AP20" s="420" t="s">
        <v>338</v>
      </c>
      <c r="AQ20" s="844" t="s">
        <v>1135</v>
      </c>
      <c r="AR20" s="420" t="s">
        <v>338</v>
      </c>
      <c r="AS20" s="421" t="s">
        <v>97</v>
      </c>
      <c r="AT20" s="420" t="s">
        <v>338</v>
      </c>
      <c r="AU20" s="56"/>
      <c r="AV20" s="9" t="s">
        <v>18</v>
      </c>
      <c r="AW20" s="9" t="s">
        <v>53</v>
      </c>
      <c r="AX20" s="10" t="s">
        <v>109</v>
      </c>
    </row>
    <row r="21" spans="1:51" ht="12" customHeight="1">
      <c r="A21" s="94">
        <v>1</v>
      </c>
      <c r="B21" s="257" t="s">
        <v>1</v>
      </c>
      <c r="C21" s="255" t="s">
        <v>161</v>
      </c>
      <c r="D21" s="95" t="s">
        <v>433</v>
      </c>
      <c r="E21" s="1052">
        <v>37622</v>
      </c>
      <c r="F21" s="258" t="str">
        <f t="shared" ref="F21:F70" si="0">$E$16</f>
        <v>Сокращенное название</v>
      </c>
      <c r="G21" s="259" t="s">
        <v>325</v>
      </c>
      <c r="H21" s="469" t="str">
        <f>E76</f>
        <v>Фамилия_1 Имя Отчество</v>
      </c>
      <c r="I21" s="260">
        <f t="shared" ref="I21" si="1">COUNTIF(K21:AL21,"&gt;=0")-COUNTIF(K21:AL21,"в")-COUNTIF(K21:AL21,"л")</f>
        <v>0</v>
      </c>
      <c r="J21" s="201">
        <f t="shared" ref="J21" si="2">COUNTIF(K21:AL21,"л")</f>
        <v>0</v>
      </c>
      <c r="K21" s="261"/>
      <c r="L21" s="262"/>
      <c r="M21" s="262"/>
      <c r="N21" s="263"/>
      <c r="O21" s="264"/>
      <c r="P21" s="262"/>
      <c r="Q21" s="262"/>
      <c r="R21" s="262"/>
      <c r="S21" s="262"/>
      <c r="T21" s="262"/>
      <c r="U21" s="262"/>
      <c r="V21" s="262"/>
      <c r="W21" s="262"/>
      <c r="X21" s="262"/>
      <c r="Y21" s="265"/>
      <c r="Z21" s="266"/>
      <c r="AA21" s="195"/>
      <c r="AB21" s="195"/>
      <c r="AC21" s="65"/>
      <c r="AD21" s="186"/>
      <c r="AE21" s="261"/>
      <c r="AF21" s="264"/>
      <c r="AG21" s="262"/>
      <c r="AH21" s="268"/>
      <c r="AI21" s="186"/>
      <c r="AJ21" s="65"/>
      <c r="AK21" s="840"/>
      <c r="AL21" s="197"/>
      <c r="AM21" s="261"/>
      <c r="AN21" s="180"/>
      <c r="AO21" s="261"/>
      <c r="AP21" s="188"/>
      <c r="AQ21" s="261"/>
      <c r="AR21" s="180"/>
      <c r="AS21" s="261"/>
      <c r="AT21" s="188"/>
      <c r="AU21" s="56"/>
      <c r="AV21" s="10" t="e">
        <f>SUMIFS(#REF!,#REF!,$C21,#REF!,$E21,#REF!,$F21)</f>
        <v>#REF!</v>
      </c>
      <c r="AW21" s="29" t="e">
        <f>COUNTIFS(#REF!,$C21,#REF!,$E21,#REF!,$F21,#REF!,"&gt;=0")</f>
        <v>#REF!</v>
      </c>
      <c r="AX21" s="10" t="e">
        <f>COUNTIFS(#REF!,$C21,#REF!,$E21,#REF!,$F21,#REF!,"лично")</f>
        <v>#REF!</v>
      </c>
      <c r="AY21" s="257" t="s">
        <v>23</v>
      </c>
    </row>
    <row r="22" spans="1:51" ht="12" customHeight="1">
      <c r="A22" s="94">
        <v>2</v>
      </c>
      <c r="B22" s="257" t="s">
        <v>1</v>
      </c>
      <c r="C22" s="255" t="s">
        <v>161</v>
      </c>
      <c r="D22" s="95" t="s">
        <v>433</v>
      </c>
      <c r="E22" s="1052"/>
      <c r="F22" s="258" t="str">
        <f t="shared" si="0"/>
        <v>Сокращенное название</v>
      </c>
      <c r="G22" s="259" t="s">
        <v>325</v>
      </c>
      <c r="H22" s="469" t="str">
        <f>H21</f>
        <v>Фамилия_1 Имя Отчество</v>
      </c>
      <c r="I22" s="260">
        <f t="shared" ref="I22:I52" si="3">COUNTIF(K22:AL22,"&gt;=0")-COUNTIF(K22:AL22,"в")-COUNTIF(K22:AL22,"л")</f>
        <v>0</v>
      </c>
      <c r="J22" s="201">
        <f t="shared" ref="J22:J70" si="4">COUNTIF(K22:AL22,"л")</f>
        <v>0</v>
      </c>
      <c r="K22" s="261"/>
      <c r="L22" s="262"/>
      <c r="M22" s="262"/>
      <c r="N22" s="263"/>
      <c r="O22" s="264"/>
      <c r="P22" s="262"/>
      <c r="Q22" s="262"/>
      <c r="R22" s="262"/>
      <c r="S22" s="262"/>
      <c r="T22" s="262"/>
      <c r="U22" s="262"/>
      <c r="V22" s="262"/>
      <c r="W22" s="262"/>
      <c r="X22" s="262"/>
      <c r="Y22" s="265"/>
      <c r="Z22" s="266"/>
      <c r="AA22" s="195"/>
      <c r="AB22" s="195"/>
      <c r="AC22" s="65"/>
      <c r="AD22" s="186"/>
      <c r="AE22" s="261"/>
      <c r="AF22" s="264"/>
      <c r="AG22" s="262"/>
      <c r="AH22" s="268"/>
      <c r="AI22" s="186"/>
      <c r="AJ22" s="65"/>
      <c r="AK22" s="840"/>
      <c r="AL22" s="197"/>
      <c r="AM22" s="261"/>
      <c r="AN22" s="180"/>
      <c r="AO22" s="261"/>
      <c r="AP22" s="188"/>
      <c r="AQ22" s="261"/>
      <c r="AR22" s="180"/>
      <c r="AS22" s="261"/>
      <c r="AT22" s="188"/>
      <c r="AU22" s="56"/>
      <c r="AV22" s="10" t="e">
        <f>SUMIFS(#REF!,#REF!,$C22,#REF!,$E22,#REF!,$F22)</f>
        <v>#REF!</v>
      </c>
      <c r="AW22" s="29" t="e">
        <f>COUNTIFS(#REF!,$C22,#REF!,$E22,#REF!,$F22,#REF!,"&gt;=0")</f>
        <v>#REF!</v>
      </c>
      <c r="AX22" s="10" t="e">
        <f>COUNTIFS(#REF!,$C22,#REF!,$E22,#REF!,$F22,#REF!,"лично")</f>
        <v>#REF!</v>
      </c>
      <c r="AY22" s="257" t="s">
        <v>23</v>
      </c>
    </row>
    <row r="23" spans="1:51" ht="12" customHeight="1">
      <c r="A23" s="94">
        <v>3</v>
      </c>
      <c r="B23" s="257" t="s">
        <v>23</v>
      </c>
      <c r="C23" s="255" t="s">
        <v>161</v>
      </c>
      <c r="D23" s="95" t="s">
        <v>433</v>
      </c>
      <c r="E23" s="1052"/>
      <c r="F23" s="258" t="str">
        <f t="shared" si="0"/>
        <v>Сокращенное название</v>
      </c>
      <c r="G23" s="259" t="s">
        <v>325</v>
      </c>
      <c r="H23" s="469" t="str">
        <f t="shared" ref="H23:H70" si="5">H22</f>
        <v>Фамилия_1 Имя Отчество</v>
      </c>
      <c r="I23" s="260">
        <f t="shared" si="3"/>
        <v>0</v>
      </c>
      <c r="J23" s="201">
        <f t="shared" si="4"/>
        <v>0</v>
      </c>
      <c r="K23" s="261"/>
      <c r="L23" s="262"/>
      <c r="M23" s="262"/>
      <c r="N23" s="263"/>
      <c r="O23" s="264"/>
      <c r="P23" s="262"/>
      <c r="Q23" s="262"/>
      <c r="R23" s="262"/>
      <c r="S23" s="262"/>
      <c r="T23" s="262"/>
      <c r="U23" s="262"/>
      <c r="V23" s="262"/>
      <c r="W23" s="262"/>
      <c r="X23" s="262"/>
      <c r="Y23" s="265"/>
      <c r="Z23" s="266"/>
      <c r="AA23" s="195"/>
      <c r="AB23" s="195"/>
      <c r="AC23" s="65"/>
      <c r="AD23" s="186"/>
      <c r="AE23" s="261"/>
      <c r="AF23" s="264"/>
      <c r="AG23" s="262"/>
      <c r="AH23" s="268"/>
      <c r="AI23" s="186"/>
      <c r="AJ23" s="65"/>
      <c r="AK23" s="840"/>
      <c r="AL23" s="197"/>
      <c r="AM23" s="261"/>
      <c r="AN23" s="180"/>
      <c r="AO23" s="261"/>
      <c r="AP23" s="188"/>
      <c r="AQ23" s="261"/>
      <c r="AR23" s="180"/>
      <c r="AS23" s="261"/>
      <c r="AT23" s="188"/>
      <c r="AU23" s="56"/>
      <c r="AV23" s="10" t="e">
        <f>SUMIFS(#REF!,#REF!,$C23,#REF!,$E23,#REF!,$F23)</f>
        <v>#REF!</v>
      </c>
      <c r="AW23" s="29" t="e">
        <f>COUNTIFS(#REF!,$C23,#REF!,$E23,#REF!,$F23,#REF!,"&gt;=0")</f>
        <v>#REF!</v>
      </c>
      <c r="AX23" s="10" t="e">
        <f>COUNTIFS(#REF!,$C23,#REF!,$E23,#REF!,$F23,#REF!,"лично")</f>
        <v>#REF!</v>
      </c>
      <c r="AY23" s="257" t="s">
        <v>25</v>
      </c>
    </row>
    <row r="24" spans="1:51" ht="12" customHeight="1">
      <c r="A24" s="94">
        <v>4</v>
      </c>
      <c r="B24" s="257" t="s">
        <v>25</v>
      </c>
      <c r="C24" s="255" t="s">
        <v>161</v>
      </c>
      <c r="D24" s="95" t="s">
        <v>433</v>
      </c>
      <c r="E24" s="1052"/>
      <c r="F24" s="258" t="str">
        <f t="shared" si="0"/>
        <v>Сокращенное название</v>
      </c>
      <c r="G24" s="259" t="s">
        <v>325</v>
      </c>
      <c r="H24" s="469" t="str">
        <f t="shared" si="5"/>
        <v>Фамилия_1 Имя Отчество</v>
      </c>
      <c r="I24" s="260">
        <f t="shared" si="3"/>
        <v>0</v>
      </c>
      <c r="J24" s="201">
        <f t="shared" si="4"/>
        <v>0</v>
      </c>
      <c r="K24" s="261"/>
      <c r="L24" s="262"/>
      <c r="M24" s="262"/>
      <c r="N24" s="263"/>
      <c r="O24" s="264"/>
      <c r="P24" s="262"/>
      <c r="Q24" s="262"/>
      <c r="R24" s="262"/>
      <c r="S24" s="262"/>
      <c r="T24" s="262"/>
      <c r="U24" s="262"/>
      <c r="V24" s="262"/>
      <c r="W24" s="262"/>
      <c r="X24" s="262"/>
      <c r="Y24" s="265"/>
      <c r="Z24" s="266"/>
      <c r="AA24" s="195"/>
      <c r="AB24" s="195"/>
      <c r="AC24" s="65"/>
      <c r="AD24" s="186"/>
      <c r="AE24" s="261"/>
      <c r="AF24" s="264"/>
      <c r="AG24" s="262"/>
      <c r="AH24" s="268"/>
      <c r="AI24" s="186"/>
      <c r="AJ24" s="65"/>
      <c r="AK24" s="840"/>
      <c r="AL24" s="197"/>
      <c r="AM24" s="261"/>
      <c r="AN24" s="180"/>
      <c r="AO24" s="261"/>
      <c r="AP24" s="188"/>
      <c r="AQ24" s="261"/>
      <c r="AR24" s="180"/>
      <c r="AS24" s="261"/>
      <c r="AT24" s="188"/>
      <c r="AU24" s="56"/>
      <c r="AV24" s="10" t="e">
        <f>SUMIFS(#REF!,#REF!,$C24,#REF!,$E24,#REF!,$F24)</f>
        <v>#REF!</v>
      </c>
      <c r="AW24" s="29" t="e">
        <f>COUNTIFS(#REF!,$C24,#REF!,$E24,#REF!,$F24,#REF!,"&gt;=0")</f>
        <v>#REF!</v>
      </c>
      <c r="AX24" s="10" t="e">
        <f>COUNTIFS(#REF!,$C24,#REF!,$E24,#REF!,$F24,#REF!,"лично")</f>
        <v>#REF!</v>
      </c>
      <c r="AY24" s="257" t="s">
        <v>27</v>
      </c>
    </row>
    <row r="25" spans="1:51" ht="12" customHeight="1">
      <c r="A25" s="94">
        <v>5</v>
      </c>
      <c r="B25" s="257" t="s">
        <v>27</v>
      </c>
      <c r="C25" s="255" t="s">
        <v>161</v>
      </c>
      <c r="D25" s="95" t="s">
        <v>433</v>
      </c>
      <c r="E25" s="1052"/>
      <c r="F25" s="258" t="str">
        <f t="shared" si="0"/>
        <v>Сокращенное название</v>
      </c>
      <c r="G25" s="259" t="s">
        <v>325</v>
      </c>
      <c r="H25" s="469" t="str">
        <f t="shared" si="5"/>
        <v>Фамилия_1 Имя Отчество</v>
      </c>
      <c r="I25" s="260">
        <f t="shared" si="3"/>
        <v>0</v>
      </c>
      <c r="J25" s="201">
        <f t="shared" si="4"/>
        <v>0</v>
      </c>
      <c r="K25" s="261"/>
      <c r="L25" s="262"/>
      <c r="M25" s="262"/>
      <c r="N25" s="263"/>
      <c r="O25" s="264"/>
      <c r="P25" s="262"/>
      <c r="Q25" s="262"/>
      <c r="R25" s="262"/>
      <c r="S25" s="262"/>
      <c r="T25" s="262"/>
      <c r="U25" s="262"/>
      <c r="V25" s="262"/>
      <c r="W25" s="262"/>
      <c r="X25" s="262"/>
      <c r="Y25" s="265"/>
      <c r="Z25" s="266"/>
      <c r="AA25" s="195"/>
      <c r="AB25" s="195"/>
      <c r="AC25" s="65"/>
      <c r="AD25" s="186"/>
      <c r="AE25" s="261"/>
      <c r="AF25" s="264"/>
      <c r="AG25" s="262"/>
      <c r="AH25" s="268"/>
      <c r="AI25" s="186"/>
      <c r="AJ25" s="65"/>
      <c r="AK25" s="840"/>
      <c r="AL25" s="197"/>
      <c r="AM25" s="261"/>
      <c r="AN25" s="180"/>
      <c r="AO25" s="261"/>
      <c r="AP25" s="188"/>
      <c r="AQ25" s="261"/>
      <c r="AR25" s="180"/>
      <c r="AS25" s="261"/>
      <c r="AT25" s="188"/>
      <c r="AU25" s="56"/>
      <c r="AV25" s="10" t="e">
        <f>SUMIFS(#REF!,#REF!,$C25,#REF!,$E25,#REF!,$F25)</f>
        <v>#REF!</v>
      </c>
      <c r="AW25" s="29" t="e">
        <f>COUNTIFS(#REF!,$C25,#REF!,$E25,#REF!,$F25,#REF!,"&gt;=0")</f>
        <v>#REF!</v>
      </c>
      <c r="AX25" s="10" t="e">
        <f>COUNTIFS(#REF!,$C25,#REF!,$E25,#REF!,$F25,#REF!,"лично")</f>
        <v>#REF!</v>
      </c>
      <c r="AY25" s="257" t="s">
        <v>29</v>
      </c>
    </row>
    <row r="26" spans="1:51" ht="12" customHeight="1">
      <c r="A26" s="94">
        <v>6</v>
      </c>
      <c r="B26" s="257" t="s">
        <v>29</v>
      </c>
      <c r="C26" s="255" t="s">
        <v>161</v>
      </c>
      <c r="D26" s="95" t="s">
        <v>433</v>
      </c>
      <c r="E26" s="1052"/>
      <c r="F26" s="258" t="str">
        <f t="shared" si="0"/>
        <v>Сокращенное название</v>
      </c>
      <c r="G26" s="259" t="s">
        <v>325</v>
      </c>
      <c r="H26" s="469" t="str">
        <f t="shared" si="5"/>
        <v>Фамилия_1 Имя Отчество</v>
      </c>
      <c r="I26" s="260">
        <f t="shared" si="3"/>
        <v>0</v>
      </c>
      <c r="J26" s="201">
        <f t="shared" si="4"/>
        <v>0</v>
      </c>
      <c r="K26" s="261"/>
      <c r="L26" s="262"/>
      <c r="M26" s="262"/>
      <c r="N26" s="263"/>
      <c r="O26" s="264"/>
      <c r="P26" s="262"/>
      <c r="Q26" s="262"/>
      <c r="R26" s="262"/>
      <c r="S26" s="262"/>
      <c r="T26" s="262"/>
      <c r="U26" s="262"/>
      <c r="V26" s="262"/>
      <c r="W26" s="262"/>
      <c r="X26" s="262"/>
      <c r="Y26" s="265"/>
      <c r="Z26" s="266"/>
      <c r="AA26" s="195"/>
      <c r="AB26" s="195"/>
      <c r="AC26" s="65"/>
      <c r="AD26" s="186"/>
      <c r="AE26" s="261"/>
      <c r="AF26" s="264"/>
      <c r="AG26" s="262"/>
      <c r="AH26" s="268"/>
      <c r="AI26" s="186"/>
      <c r="AJ26" s="65"/>
      <c r="AK26" s="840"/>
      <c r="AL26" s="197"/>
      <c r="AM26" s="261"/>
      <c r="AN26" s="180"/>
      <c r="AO26" s="261"/>
      <c r="AP26" s="188"/>
      <c r="AQ26" s="261"/>
      <c r="AR26" s="180"/>
      <c r="AS26" s="261"/>
      <c r="AT26" s="188"/>
      <c r="AU26" s="56"/>
      <c r="AV26" s="10" t="e">
        <f>SUMIFS(#REF!,#REF!,$C26,#REF!,$E26,#REF!,$F26)</f>
        <v>#REF!</v>
      </c>
      <c r="AW26" s="29" t="e">
        <f>COUNTIFS(#REF!,$C26,#REF!,$E26,#REF!,$F26,#REF!,"&gt;=0")</f>
        <v>#REF!</v>
      </c>
      <c r="AX26" s="10" t="e">
        <f>COUNTIFS(#REF!,$C26,#REF!,$E26,#REF!,$F26,#REF!,"лично")</f>
        <v>#REF!</v>
      </c>
      <c r="AY26" s="257" t="s">
        <v>1</v>
      </c>
    </row>
    <row r="27" spans="1:51" ht="12" customHeight="1">
      <c r="A27" s="94">
        <v>7</v>
      </c>
      <c r="B27" s="257" t="s">
        <v>1</v>
      </c>
      <c r="C27" s="255" t="s">
        <v>161</v>
      </c>
      <c r="D27" s="95" t="s">
        <v>433</v>
      </c>
      <c r="E27" s="1052"/>
      <c r="F27" s="258" t="str">
        <f t="shared" si="0"/>
        <v>Сокращенное название</v>
      </c>
      <c r="G27" s="259" t="s">
        <v>325</v>
      </c>
      <c r="H27" s="469" t="str">
        <f t="shared" si="5"/>
        <v>Фамилия_1 Имя Отчество</v>
      </c>
      <c r="I27" s="260">
        <f t="shared" si="3"/>
        <v>0</v>
      </c>
      <c r="J27" s="201">
        <f t="shared" si="4"/>
        <v>0</v>
      </c>
      <c r="K27" s="261"/>
      <c r="L27" s="262"/>
      <c r="M27" s="262"/>
      <c r="N27" s="263"/>
      <c r="O27" s="264"/>
      <c r="P27" s="262"/>
      <c r="Q27" s="262"/>
      <c r="R27" s="262"/>
      <c r="S27" s="262"/>
      <c r="T27" s="262"/>
      <c r="U27" s="262"/>
      <c r="V27" s="262"/>
      <c r="W27" s="262"/>
      <c r="X27" s="262"/>
      <c r="Y27" s="265"/>
      <c r="Z27" s="266"/>
      <c r="AA27" s="195"/>
      <c r="AB27" s="195"/>
      <c r="AC27" s="65"/>
      <c r="AD27" s="186"/>
      <c r="AE27" s="261"/>
      <c r="AF27" s="264"/>
      <c r="AG27" s="262"/>
      <c r="AH27" s="268"/>
      <c r="AI27" s="186"/>
      <c r="AJ27" s="65"/>
      <c r="AK27" s="840"/>
      <c r="AL27" s="197"/>
      <c r="AM27" s="261"/>
      <c r="AN27" s="180"/>
      <c r="AO27" s="261"/>
      <c r="AP27" s="188"/>
      <c r="AQ27" s="261"/>
      <c r="AR27" s="180"/>
      <c r="AS27" s="261"/>
      <c r="AT27" s="188"/>
      <c r="AU27" s="56"/>
      <c r="AV27" s="10" t="e">
        <f>SUMIFS(#REF!,#REF!,$C27,#REF!,$E27,#REF!,$F27)</f>
        <v>#REF!</v>
      </c>
      <c r="AW27" s="29" t="e">
        <f>COUNTIFS(#REF!,$C27,#REF!,$E27,#REF!,$F27,#REF!,"&gt;=0")</f>
        <v>#REF!</v>
      </c>
      <c r="AX27" s="10" t="e">
        <f>COUNTIFS(#REF!,$C27,#REF!,$E27,#REF!,$F27,#REF!,"лично")</f>
        <v>#REF!</v>
      </c>
      <c r="AY27" s="257" t="s">
        <v>13</v>
      </c>
    </row>
    <row r="28" spans="1:51" ht="12" customHeight="1">
      <c r="A28" s="94">
        <v>8</v>
      </c>
      <c r="B28" s="257" t="s">
        <v>1</v>
      </c>
      <c r="C28" s="255" t="s">
        <v>161</v>
      </c>
      <c r="D28" s="95" t="s">
        <v>433</v>
      </c>
      <c r="E28" s="1052"/>
      <c r="F28" s="258" t="str">
        <f t="shared" si="0"/>
        <v>Сокращенное название</v>
      </c>
      <c r="G28" s="259" t="s">
        <v>325</v>
      </c>
      <c r="H28" s="469" t="str">
        <f t="shared" si="5"/>
        <v>Фамилия_1 Имя Отчество</v>
      </c>
      <c r="I28" s="260">
        <f t="shared" si="3"/>
        <v>0</v>
      </c>
      <c r="J28" s="201">
        <f t="shared" si="4"/>
        <v>0</v>
      </c>
      <c r="K28" s="261"/>
      <c r="L28" s="262"/>
      <c r="M28" s="262"/>
      <c r="N28" s="263"/>
      <c r="O28" s="264"/>
      <c r="P28" s="262"/>
      <c r="Q28" s="262"/>
      <c r="R28" s="262"/>
      <c r="S28" s="262"/>
      <c r="T28" s="262"/>
      <c r="U28" s="262"/>
      <c r="V28" s="262"/>
      <c r="W28" s="262"/>
      <c r="X28" s="262"/>
      <c r="Y28" s="265"/>
      <c r="Z28" s="266"/>
      <c r="AA28" s="195"/>
      <c r="AB28" s="195"/>
      <c r="AC28" s="65"/>
      <c r="AD28" s="186"/>
      <c r="AE28" s="261"/>
      <c r="AF28" s="264"/>
      <c r="AG28" s="262"/>
      <c r="AH28" s="268"/>
      <c r="AI28" s="186"/>
      <c r="AJ28" s="65"/>
      <c r="AK28" s="840"/>
      <c r="AL28" s="197"/>
      <c r="AM28" s="261"/>
      <c r="AN28" s="180"/>
      <c r="AO28" s="261"/>
      <c r="AP28" s="188"/>
      <c r="AQ28" s="261"/>
      <c r="AR28" s="180"/>
      <c r="AS28" s="261"/>
      <c r="AT28" s="188"/>
      <c r="AU28" s="56"/>
      <c r="AV28" s="10" t="e">
        <f>SUMIFS(#REF!,#REF!,$C28,#REF!,$E28,#REF!,$F28)</f>
        <v>#REF!</v>
      </c>
      <c r="AW28" s="29" t="e">
        <f>COUNTIFS(#REF!,$C28,#REF!,$E28,#REF!,$F28,#REF!,"&gt;=0")</f>
        <v>#REF!</v>
      </c>
      <c r="AX28" s="10" t="e">
        <f>COUNTIFS(#REF!,$C28,#REF!,$E28,#REF!,$F28,#REF!,"лично")</f>
        <v>#REF!</v>
      </c>
      <c r="AY28" s="257" t="s">
        <v>14</v>
      </c>
    </row>
    <row r="29" spans="1:51" ht="12" customHeight="1">
      <c r="A29" s="94">
        <v>9</v>
      </c>
      <c r="B29" s="257" t="s">
        <v>14</v>
      </c>
      <c r="C29" s="255" t="s">
        <v>161</v>
      </c>
      <c r="D29" s="95" t="s">
        <v>433</v>
      </c>
      <c r="E29" s="1052"/>
      <c r="F29" s="258" t="str">
        <f t="shared" si="0"/>
        <v>Сокращенное название</v>
      </c>
      <c r="G29" s="259" t="s">
        <v>325</v>
      </c>
      <c r="H29" s="469" t="str">
        <f t="shared" si="5"/>
        <v>Фамилия_1 Имя Отчество</v>
      </c>
      <c r="I29" s="260">
        <f t="shared" si="3"/>
        <v>0</v>
      </c>
      <c r="J29" s="201">
        <f t="shared" si="4"/>
        <v>0</v>
      </c>
      <c r="K29" s="261"/>
      <c r="L29" s="262"/>
      <c r="M29" s="262"/>
      <c r="N29" s="263"/>
      <c r="O29" s="264"/>
      <c r="P29" s="262"/>
      <c r="Q29" s="262"/>
      <c r="R29" s="262"/>
      <c r="S29" s="262"/>
      <c r="T29" s="262"/>
      <c r="U29" s="262"/>
      <c r="V29" s="262"/>
      <c r="W29" s="262"/>
      <c r="X29" s="262"/>
      <c r="Y29" s="265"/>
      <c r="Z29" s="266"/>
      <c r="AA29" s="195"/>
      <c r="AB29" s="195"/>
      <c r="AC29" s="65"/>
      <c r="AD29" s="186"/>
      <c r="AE29" s="261"/>
      <c r="AF29" s="264"/>
      <c r="AG29" s="262"/>
      <c r="AH29" s="268"/>
      <c r="AI29" s="186"/>
      <c r="AJ29" s="65"/>
      <c r="AK29" s="840"/>
      <c r="AL29" s="197"/>
      <c r="AM29" s="261"/>
      <c r="AN29" s="180"/>
      <c r="AO29" s="261"/>
      <c r="AP29" s="188"/>
      <c r="AQ29" s="261"/>
      <c r="AR29" s="180"/>
      <c r="AS29" s="261"/>
      <c r="AT29" s="188"/>
      <c r="AU29" s="56"/>
      <c r="AV29" s="10" t="e">
        <f>SUMIFS(#REF!,#REF!,$C29,#REF!,$E29,#REF!,$F29)</f>
        <v>#REF!</v>
      </c>
      <c r="AW29" s="29" t="e">
        <f>COUNTIFS(#REF!,$C29,#REF!,$E29,#REF!,$F29,#REF!,"&gt;=0")</f>
        <v>#REF!</v>
      </c>
      <c r="AX29" s="10" t="e">
        <f>COUNTIFS(#REF!,$C29,#REF!,$E29,#REF!,$F29,#REF!,"лично")</f>
        <v>#REF!</v>
      </c>
      <c r="AY29" s="66" t="s">
        <v>35</v>
      </c>
    </row>
    <row r="30" spans="1:51" ht="12" customHeight="1">
      <c r="A30" s="94">
        <v>10</v>
      </c>
      <c r="B30" s="257" t="s">
        <v>1</v>
      </c>
      <c r="C30" s="255" t="s">
        <v>161</v>
      </c>
      <c r="D30" s="95" t="s">
        <v>433</v>
      </c>
      <c r="E30" s="1052"/>
      <c r="F30" s="258" t="str">
        <f t="shared" si="0"/>
        <v>Сокращенное название</v>
      </c>
      <c r="G30" s="259" t="s">
        <v>325</v>
      </c>
      <c r="H30" s="469" t="str">
        <f t="shared" si="5"/>
        <v>Фамилия_1 Имя Отчество</v>
      </c>
      <c r="I30" s="260">
        <f t="shared" si="3"/>
        <v>0</v>
      </c>
      <c r="J30" s="201">
        <f t="shared" si="4"/>
        <v>0</v>
      </c>
      <c r="K30" s="261"/>
      <c r="L30" s="262"/>
      <c r="M30" s="262"/>
      <c r="N30" s="263"/>
      <c r="O30" s="264"/>
      <c r="P30" s="262"/>
      <c r="Q30" s="262"/>
      <c r="R30" s="262"/>
      <c r="S30" s="262"/>
      <c r="T30" s="262"/>
      <c r="U30" s="262"/>
      <c r="V30" s="262"/>
      <c r="W30" s="262"/>
      <c r="X30" s="262"/>
      <c r="Y30" s="265"/>
      <c r="Z30" s="266"/>
      <c r="AA30" s="195"/>
      <c r="AB30" s="195"/>
      <c r="AC30" s="65"/>
      <c r="AD30" s="186"/>
      <c r="AE30" s="261"/>
      <c r="AF30" s="264"/>
      <c r="AG30" s="262"/>
      <c r="AH30" s="268"/>
      <c r="AI30" s="186"/>
      <c r="AJ30" s="65"/>
      <c r="AK30" s="840"/>
      <c r="AL30" s="197"/>
      <c r="AM30" s="261"/>
      <c r="AN30" s="180"/>
      <c r="AO30" s="261"/>
      <c r="AP30" s="188"/>
      <c r="AQ30" s="261"/>
      <c r="AR30" s="180"/>
      <c r="AS30" s="261"/>
      <c r="AT30" s="188"/>
      <c r="AU30" s="56"/>
      <c r="AV30" s="10" t="e">
        <f>SUMIFS(#REF!,#REF!,$C30,#REF!,$E30,#REF!,$F30)</f>
        <v>#REF!</v>
      </c>
      <c r="AW30" s="29" t="e">
        <f>COUNTIFS(#REF!,$C30,#REF!,$E30,#REF!,$F30,#REF!,"&gt;=0")</f>
        <v>#REF!</v>
      </c>
      <c r="AX30" s="10" t="e">
        <f>COUNTIFS(#REF!,$C30,#REF!,$E30,#REF!,$F30,#REF!,"лично")</f>
        <v>#REF!</v>
      </c>
      <c r="AY30" s="66" t="s">
        <v>10</v>
      </c>
    </row>
    <row r="31" spans="1:51" ht="12" customHeight="1">
      <c r="A31" s="94">
        <v>11</v>
      </c>
      <c r="B31" s="66" t="s">
        <v>35</v>
      </c>
      <c r="C31" s="255" t="s">
        <v>161</v>
      </c>
      <c r="D31" s="95" t="s">
        <v>433</v>
      </c>
      <c r="E31" s="1052"/>
      <c r="F31" s="258" t="str">
        <f t="shared" si="0"/>
        <v>Сокращенное название</v>
      </c>
      <c r="G31" s="259" t="s">
        <v>325</v>
      </c>
      <c r="H31" s="469" t="str">
        <f t="shared" si="5"/>
        <v>Фамилия_1 Имя Отчество</v>
      </c>
      <c r="I31" s="260">
        <f t="shared" si="3"/>
        <v>0</v>
      </c>
      <c r="J31" s="201">
        <f t="shared" si="4"/>
        <v>0</v>
      </c>
      <c r="K31" s="261"/>
      <c r="L31" s="262"/>
      <c r="M31" s="262"/>
      <c r="N31" s="263"/>
      <c r="O31" s="264"/>
      <c r="P31" s="262"/>
      <c r="Q31" s="262"/>
      <c r="R31" s="262"/>
      <c r="S31" s="262"/>
      <c r="T31" s="262"/>
      <c r="U31" s="262"/>
      <c r="V31" s="262"/>
      <c r="W31" s="262"/>
      <c r="X31" s="262"/>
      <c r="Y31" s="265"/>
      <c r="Z31" s="266"/>
      <c r="AA31" s="195"/>
      <c r="AB31" s="195"/>
      <c r="AC31" s="65"/>
      <c r="AD31" s="186"/>
      <c r="AE31" s="261"/>
      <c r="AF31" s="264"/>
      <c r="AG31" s="262"/>
      <c r="AH31" s="268"/>
      <c r="AI31" s="186"/>
      <c r="AJ31" s="65"/>
      <c r="AK31" s="840"/>
      <c r="AL31" s="197"/>
      <c r="AM31" s="261"/>
      <c r="AN31" s="180"/>
      <c r="AO31" s="261"/>
      <c r="AP31" s="188"/>
      <c r="AQ31" s="261"/>
      <c r="AR31" s="180"/>
      <c r="AS31" s="261"/>
      <c r="AT31" s="188"/>
      <c r="AU31" s="56"/>
      <c r="AV31" s="10" t="e">
        <f>SUMIFS(#REF!,#REF!,$C31,#REF!,$E31,#REF!,$F31)</f>
        <v>#REF!</v>
      </c>
      <c r="AW31" s="29" t="e">
        <f>COUNTIFS(#REF!,$C31,#REF!,$E31,#REF!,$F31,#REF!,"&gt;=0")</f>
        <v>#REF!</v>
      </c>
      <c r="AX31" s="10" t="e">
        <f>COUNTIFS(#REF!,$C31,#REF!,$E31,#REF!,$F31,#REF!,"лично")</f>
        <v>#REF!</v>
      </c>
      <c r="AY31" s="66" t="s">
        <v>11</v>
      </c>
    </row>
    <row r="32" spans="1:51" ht="12" customHeight="1">
      <c r="A32" s="94">
        <v>12</v>
      </c>
      <c r="B32" s="257" t="s">
        <v>29</v>
      </c>
      <c r="C32" s="255" t="s">
        <v>161</v>
      </c>
      <c r="D32" s="95" t="s">
        <v>433</v>
      </c>
      <c r="E32" s="1052"/>
      <c r="F32" s="258" t="str">
        <f t="shared" si="0"/>
        <v>Сокращенное название</v>
      </c>
      <c r="G32" s="259" t="s">
        <v>325</v>
      </c>
      <c r="H32" s="469" t="str">
        <f t="shared" si="5"/>
        <v>Фамилия_1 Имя Отчество</v>
      </c>
      <c r="I32" s="260">
        <f t="shared" si="3"/>
        <v>0</v>
      </c>
      <c r="J32" s="201">
        <f t="shared" si="4"/>
        <v>0</v>
      </c>
      <c r="K32" s="261"/>
      <c r="L32" s="262"/>
      <c r="M32" s="262"/>
      <c r="N32" s="263"/>
      <c r="O32" s="264"/>
      <c r="P32" s="262"/>
      <c r="Q32" s="262"/>
      <c r="R32" s="262"/>
      <c r="S32" s="262"/>
      <c r="T32" s="262"/>
      <c r="U32" s="262"/>
      <c r="V32" s="262"/>
      <c r="W32" s="262"/>
      <c r="X32" s="262"/>
      <c r="Y32" s="265"/>
      <c r="Z32" s="266"/>
      <c r="AA32" s="195"/>
      <c r="AB32" s="195"/>
      <c r="AC32" s="65"/>
      <c r="AD32" s="186"/>
      <c r="AE32" s="261"/>
      <c r="AF32" s="264"/>
      <c r="AG32" s="262"/>
      <c r="AH32" s="268"/>
      <c r="AI32" s="186"/>
      <c r="AJ32" s="65"/>
      <c r="AK32" s="840"/>
      <c r="AL32" s="197"/>
      <c r="AM32" s="261"/>
      <c r="AN32" s="180"/>
      <c r="AO32" s="261"/>
      <c r="AP32" s="188"/>
      <c r="AQ32" s="261"/>
      <c r="AR32" s="180"/>
      <c r="AS32" s="261"/>
      <c r="AT32" s="188"/>
      <c r="AU32" s="56"/>
      <c r="AV32" s="10" t="e">
        <f>SUMIFS(#REF!,#REF!,$C32,#REF!,$E32,#REF!,$F32)</f>
        <v>#REF!</v>
      </c>
      <c r="AW32" s="29" t="e">
        <f>COUNTIFS(#REF!,$C32,#REF!,$E32,#REF!,$F32,#REF!,"&gt;=0")</f>
        <v>#REF!</v>
      </c>
      <c r="AX32" s="10" t="e">
        <f>COUNTIFS(#REF!,$C32,#REF!,$E32,#REF!,$F32,#REF!,"лично")</f>
        <v>#REF!</v>
      </c>
      <c r="AY32" s="362" t="s">
        <v>15</v>
      </c>
    </row>
    <row r="33" spans="1:50" ht="12" customHeight="1">
      <c r="A33" s="94">
        <v>13</v>
      </c>
      <c r="B33" s="257" t="s">
        <v>1</v>
      </c>
      <c r="C33" s="255" t="s">
        <v>161</v>
      </c>
      <c r="D33" s="95" t="s">
        <v>433</v>
      </c>
      <c r="E33" s="1052"/>
      <c r="F33" s="258" t="str">
        <f t="shared" si="0"/>
        <v>Сокращенное название</v>
      </c>
      <c r="G33" s="259" t="s">
        <v>325</v>
      </c>
      <c r="H33" s="469" t="str">
        <f t="shared" si="5"/>
        <v>Фамилия_1 Имя Отчество</v>
      </c>
      <c r="I33" s="260">
        <f t="shared" si="3"/>
        <v>0</v>
      </c>
      <c r="J33" s="201">
        <f t="shared" si="4"/>
        <v>0</v>
      </c>
      <c r="K33" s="261"/>
      <c r="L33" s="262"/>
      <c r="M33" s="262"/>
      <c r="N33" s="263"/>
      <c r="O33" s="264"/>
      <c r="P33" s="262"/>
      <c r="Q33" s="262"/>
      <c r="R33" s="262"/>
      <c r="S33" s="262"/>
      <c r="T33" s="262"/>
      <c r="U33" s="262"/>
      <c r="V33" s="262"/>
      <c r="W33" s="262"/>
      <c r="X33" s="262"/>
      <c r="Y33" s="265"/>
      <c r="Z33" s="266"/>
      <c r="AA33" s="195"/>
      <c r="AB33" s="195"/>
      <c r="AC33" s="65"/>
      <c r="AD33" s="186"/>
      <c r="AE33" s="261"/>
      <c r="AF33" s="264"/>
      <c r="AG33" s="262"/>
      <c r="AH33" s="268"/>
      <c r="AI33" s="186"/>
      <c r="AJ33" s="65"/>
      <c r="AK33" s="840"/>
      <c r="AL33" s="197"/>
      <c r="AM33" s="261"/>
      <c r="AN33" s="180"/>
      <c r="AO33" s="261"/>
      <c r="AP33" s="188"/>
      <c r="AQ33" s="261"/>
      <c r="AR33" s="180"/>
      <c r="AS33" s="261"/>
      <c r="AT33" s="188"/>
      <c r="AU33" s="56"/>
      <c r="AV33" s="10" t="e">
        <f>SUMIFS(#REF!,#REF!,$C33,#REF!,$E33,#REF!,$F33)</f>
        <v>#REF!</v>
      </c>
      <c r="AW33" s="29" t="e">
        <f>COUNTIFS(#REF!,$C33,#REF!,$E33,#REF!,$F33,#REF!,"&gt;=0")</f>
        <v>#REF!</v>
      </c>
      <c r="AX33" s="10" t="e">
        <f>COUNTIFS(#REF!,$C33,#REF!,$E33,#REF!,$F33,#REF!,"лично")</f>
        <v>#REF!</v>
      </c>
    </row>
    <row r="34" spans="1:50" ht="12" customHeight="1">
      <c r="A34" s="94">
        <v>14</v>
      </c>
      <c r="B34" s="257" t="s">
        <v>1</v>
      </c>
      <c r="C34" s="255" t="s">
        <v>161</v>
      </c>
      <c r="D34" s="95" t="s">
        <v>433</v>
      </c>
      <c r="E34" s="1052"/>
      <c r="F34" s="258" t="str">
        <f t="shared" si="0"/>
        <v>Сокращенное название</v>
      </c>
      <c r="G34" s="259" t="s">
        <v>325</v>
      </c>
      <c r="H34" s="469" t="str">
        <f t="shared" si="5"/>
        <v>Фамилия_1 Имя Отчество</v>
      </c>
      <c r="I34" s="260">
        <f t="shared" si="3"/>
        <v>0</v>
      </c>
      <c r="J34" s="201">
        <f t="shared" si="4"/>
        <v>0</v>
      </c>
      <c r="K34" s="261"/>
      <c r="L34" s="262"/>
      <c r="M34" s="262"/>
      <c r="N34" s="263"/>
      <c r="O34" s="264"/>
      <c r="P34" s="262"/>
      <c r="Q34" s="262"/>
      <c r="R34" s="262"/>
      <c r="S34" s="262"/>
      <c r="T34" s="262"/>
      <c r="U34" s="262"/>
      <c r="V34" s="262"/>
      <c r="W34" s="262"/>
      <c r="X34" s="262"/>
      <c r="Y34" s="265"/>
      <c r="Z34" s="266"/>
      <c r="AA34" s="195"/>
      <c r="AB34" s="195"/>
      <c r="AC34" s="65"/>
      <c r="AD34" s="186"/>
      <c r="AE34" s="261"/>
      <c r="AF34" s="264"/>
      <c r="AG34" s="262"/>
      <c r="AH34" s="268"/>
      <c r="AI34" s="186"/>
      <c r="AJ34" s="65"/>
      <c r="AK34" s="840"/>
      <c r="AL34" s="197"/>
      <c r="AM34" s="261"/>
      <c r="AN34" s="180"/>
      <c r="AO34" s="261"/>
      <c r="AP34" s="188"/>
      <c r="AQ34" s="261"/>
      <c r="AR34" s="180"/>
      <c r="AS34" s="261"/>
      <c r="AT34" s="188"/>
      <c r="AU34" s="56"/>
      <c r="AV34" s="10" t="e">
        <f>SUMIFS(#REF!,#REF!,$C34,#REF!,$E34,#REF!,$F34)</f>
        <v>#REF!</v>
      </c>
      <c r="AW34" s="29" t="e">
        <f>COUNTIFS(#REF!,$C34,#REF!,$E34,#REF!,$F34,#REF!,"&gt;=0")</f>
        <v>#REF!</v>
      </c>
      <c r="AX34" s="10" t="e">
        <f>COUNTIFS(#REF!,$C34,#REF!,$E34,#REF!,$F34,#REF!,"лично")</f>
        <v>#REF!</v>
      </c>
    </row>
    <row r="35" spans="1:50" ht="12" customHeight="1">
      <c r="A35" s="94">
        <v>15</v>
      </c>
      <c r="B35" s="257" t="s">
        <v>1</v>
      </c>
      <c r="C35" s="255" t="s">
        <v>161</v>
      </c>
      <c r="D35" s="95" t="s">
        <v>433</v>
      </c>
      <c r="E35" s="1052"/>
      <c r="F35" s="258" t="str">
        <f t="shared" si="0"/>
        <v>Сокращенное название</v>
      </c>
      <c r="G35" s="259" t="s">
        <v>325</v>
      </c>
      <c r="H35" s="469" t="str">
        <f t="shared" si="5"/>
        <v>Фамилия_1 Имя Отчество</v>
      </c>
      <c r="I35" s="260">
        <f t="shared" si="3"/>
        <v>0</v>
      </c>
      <c r="J35" s="201">
        <f t="shared" si="4"/>
        <v>0</v>
      </c>
      <c r="K35" s="261"/>
      <c r="L35" s="262"/>
      <c r="M35" s="262"/>
      <c r="N35" s="263"/>
      <c r="O35" s="264"/>
      <c r="P35" s="262"/>
      <c r="Q35" s="262"/>
      <c r="R35" s="262"/>
      <c r="S35" s="262"/>
      <c r="T35" s="262"/>
      <c r="U35" s="262"/>
      <c r="V35" s="262"/>
      <c r="W35" s="262"/>
      <c r="X35" s="262"/>
      <c r="Y35" s="265"/>
      <c r="Z35" s="266"/>
      <c r="AA35" s="195"/>
      <c r="AB35" s="195"/>
      <c r="AC35" s="65"/>
      <c r="AD35" s="186"/>
      <c r="AE35" s="261"/>
      <c r="AF35" s="264"/>
      <c r="AG35" s="262"/>
      <c r="AH35" s="268"/>
      <c r="AI35" s="186"/>
      <c r="AJ35" s="65"/>
      <c r="AK35" s="840"/>
      <c r="AL35" s="197"/>
      <c r="AM35" s="261"/>
      <c r="AN35" s="180"/>
      <c r="AO35" s="261"/>
      <c r="AP35" s="188"/>
      <c r="AQ35" s="261"/>
      <c r="AR35" s="180"/>
      <c r="AS35" s="261"/>
      <c r="AT35" s="188"/>
      <c r="AU35" s="56"/>
      <c r="AV35" s="10" t="e">
        <f>SUMIFS(#REF!,#REF!,$C35,#REF!,$E35,#REF!,$F35)</f>
        <v>#REF!</v>
      </c>
      <c r="AW35" s="29" t="e">
        <f>COUNTIFS(#REF!,$C35,#REF!,$E35,#REF!,$F35,#REF!,"&gt;=0")</f>
        <v>#REF!</v>
      </c>
      <c r="AX35" s="10" t="e">
        <f>COUNTIFS(#REF!,$C35,#REF!,$E35,#REF!,$F35,#REF!,"лично")</f>
        <v>#REF!</v>
      </c>
    </row>
    <row r="36" spans="1:50" ht="12" customHeight="1">
      <c r="A36" s="94">
        <v>16</v>
      </c>
      <c r="B36" s="257" t="s">
        <v>1</v>
      </c>
      <c r="C36" s="255" t="s">
        <v>161</v>
      </c>
      <c r="D36" s="95" t="s">
        <v>433</v>
      </c>
      <c r="E36" s="1052"/>
      <c r="F36" s="258" t="str">
        <f t="shared" si="0"/>
        <v>Сокращенное название</v>
      </c>
      <c r="G36" s="259" t="s">
        <v>325</v>
      </c>
      <c r="H36" s="469" t="str">
        <f t="shared" si="5"/>
        <v>Фамилия_1 Имя Отчество</v>
      </c>
      <c r="I36" s="260">
        <f t="shared" si="3"/>
        <v>0</v>
      </c>
      <c r="J36" s="201">
        <f t="shared" si="4"/>
        <v>0</v>
      </c>
      <c r="K36" s="261"/>
      <c r="L36" s="262"/>
      <c r="M36" s="262"/>
      <c r="N36" s="263"/>
      <c r="O36" s="264"/>
      <c r="P36" s="262"/>
      <c r="Q36" s="262"/>
      <c r="R36" s="262"/>
      <c r="S36" s="262"/>
      <c r="T36" s="262"/>
      <c r="U36" s="262"/>
      <c r="V36" s="262"/>
      <c r="W36" s="262"/>
      <c r="X36" s="262"/>
      <c r="Y36" s="265"/>
      <c r="Z36" s="266"/>
      <c r="AA36" s="195"/>
      <c r="AB36" s="195"/>
      <c r="AC36" s="65"/>
      <c r="AD36" s="186"/>
      <c r="AE36" s="261"/>
      <c r="AF36" s="264"/>
      <c r="AG36" s="262"/>
      <c r="AH36" s="268"/>
      <c r="AI36" s="186"/>
      <c r="AJ36" s="65"/>
      <c r="AK36" s="840"/>
      <c r="AL36" s="197"/>
      <c r="AM36" s="261"/>
      <c r="AN36" s="180"/>
      <c r="AO36" s="261"/>
      <c r="AP36" s="188"/>
      <c r="AQ36" s="261"/>
      <c r="AR36" s="180"/>
      <c r="AS36" s="261"/>
      <c r="AT36" s="188"/>
      <c r="AU36" s="56"/>
      <c r="AV36" s="10" t="e">
        <f>SUMIFS(#REF!,#REF!,$C36,#REF!,$E36,#REF!,$F36)</f>
        <v>#REF!</v>
      </c>
      <c r="AW36" s="29" t="e">
        <f>COUNTIFS(#REF!,$C36,#REF!,$E36,#REF!,$F36,#REF!,"&gt;=0")</f>
        <v>#REF!</v>
      </c>
      <c r="AX36" s="10" t="e">
        <f>COUNTIFS(#REF!,$C36,#REF!,$E36,#REF!,$F36,#REF!,"лично")</f>
        <v>#REF!</v>
      </c>
    </row>
    <row r="37" spans="1:50" ht="12" customHeight="1">
      <c r="A37" s="94">
        <v>17</v>
      </c>
      <c r="B37" s="66" t="s">
        <v>35</v>
      </c>
      <c r="C37" s="255" t="s">
        <v>161</v>
      </c>
      <c r="D37" s="95" t="s">
        <v>433</v>
      </c>
      <c r="E37" s="1052"/>
      <c r="F37" s="258" t="str">
        <f t="shared" si="0"/>
        <v>Сокращенное название</v>
      </c>
      <c r="G37" s="259" t="s">
        <v>325</v>
      </c>
      <c r="H37" s="469" t="str">
        <f t="shared" si="5"/>
        <v>Фамилия_1 Имя Отчество</v>
      </c>
      <c r="I37" s="260">
        <f t="shared" si="3"/>
        <v>0</v>
      </c>
      <c r="J37" s="201">
        <f t="shared" si="4"/>
        <v>0</v>
      </c>
      <c r="K37" s="261"/>
      <c r="L37" s="262"/>
      <c r="M37" s="262"/>
      <c r="N37" s="263"/>
      <c r="O37" s="264"/>
      <c r="P37" s="262"/>
      <c r="Q37" s="262"/>
      <c r="R37" s="262"/>
      <c r="S37" s="262"/>
      <c r="T37" s="262"/>
      <c r="U37" s="262"/>
      <c r="V37" s="262"/>
      <c r="W37" s="262"/>
      <c r="X37" s="262"/>
      <c r="Y37" s="265"/>
      <c r="Z37" s="266"/>
      <c r="AA37" s="195"/>
      <c r="AB37" s="195"/>
      <c r="AC37" s="65"/>
      <c r="AD37" s="186"/>
      <c r="AE37" s="261"/>
      <c r="AF37" s="264"/>
      <c r="AG37" s="262"/>
      <c r="AH37" s="268"/>
      <c r="AI37" s="186"/>
      <c r="AJ37" s="65"/>
      <c r="AK37" s="840"/>
      <c r="AL37" s="197"/>
      <c r="AM37" s="261"/>
      <c r="AN37" s="180"/>
      <c r="AO37" s="261"/>
      <c r="AP37" s="188"/>
      <c r="AQ37" s="261"/>
      <c r="AR37" s="180"/>
      <c r="AS37" s="261"/>
      <c r="AT37" s="188"/>
      <c r="AU37" s="56"/>
      <c r="AV37" s="10" t="e">
        <f>SUMIFS(#REF!,#REF!,$C37,#REF!,$E37,#REF!,$F37)</f>
        <v>#REF!</v>
      </c>
      <c r="AW37" s="29" t="e">
        <f>COUNTIFS(#REF!,$C37,#REF!,$E37,#REF!,$F37,#REF!,"&gt;=0")</f>
        <v>#REF!</v>
      </c>
      <c r="AX37" s="10" t="e">
        <f>COUNTIFS(#REF!,$C37,#REF!,$E37,#REF!,$F37,#REF!,"лично")</f>
        <v>#REF!</v>
      </c>
    </row>
    <row r="38" spans="1:50" ht="12" customHeight="1">
      <c r="A38" s="94">
        <v>18</v>
      </c>
      <c r="B38" s="66" t="s">
        <v>10</v>
      </c>
      <c r="C38" s="255" t="s">
        <v>161</v>
      </c>
      <c r="D38" s="95" t="s">
        <v>433</v>
      </c>
      <c r="E38" s="1052"/>
      <c r="F38" s="258" t="str">
        <f t="shared" si="0"/>
        <v>Сокращенное название</v>
      </c>
      <c r="G38" s="259" t="s">
        <v>325</v>
      </c>
      <c r="H38" s="469" t="str">
        <f t="shared" si="5"/>
        <v>Фамилия_1 Имя Отчество</v>
      </c>
      <c r="I38" s="260">
        <f t="shared" si="3"/>
        <v>0</v>
      </c>
      <c r="J38" s="201">
        <f t="shared" si="4"/>
        <v>0</v>
      </c>
      <c r="K38" s="261"/>
      <c r="L38" s="262"/>
      <c r="M38" s="262"/>
      <c r="N38" s="263"/>
      <c r="O38" s="264"/>
      <c r="P38" s="262"/>
      <c r="Q38" s="262"/>
      <c r="R38" s="262"/>
      <c r="S38" s="262"/>
      <c r="T38" s="262"/>
      <c r="U38" s="262"/>
      <c r="V38" s="262"/>
      <c r="W38" s="262"/>
      <c r="X38" s="262"/>
      <c r="Y38" s="265"/>
      <c r="Z38" s="266"/>
      <c r="AA38" s="195"/>
      <c r="AB38" s="195"/>
      <c r="AC38" s="65"/>
      <c r="AD38" s="186"/>
      <c r="AE38" s="261"/>
      <c r="AF38" s="264"/>
      <c r="AG38" s="262"/>
      <c r="AH38" s="268"/>
      <c r="AI38" s="186"/>
      <c r="AJ38" s="65"/>
      <c r="AK38" s="840"/>
      <c r="AL38" s="197"/>
      <c r="AM38" s="261"/>
      <c r="AN38" s="180"/>
      <c r="AO38" s="261"/>
      <c r="AP38" s="188"/>
      <c r="AQ38" s="261"/>
      <c r="AR38" s="180"/>
      <c r="AS38" s="261"/>
      <c r="AT38" s="188"/>
      <c r="AU38" s="56"/>
      <c r="AV38" s="10" t="e">
        <f>SUMIFS(#REF!,#REF!,$C38,#REF!,$E38,#REF!,$F38)</f>
        <v>#REF!</v>
      </c>
      <c r="AW38" s="29" t="e">
        <f>COUNTIFS(#REF!,$C38,#REF!,$E38,#REF!,$F38,#REF!,"&gt;=0")</f>
        <v>#REF!</v>
      </c>
      <c r="AX38" s="10" t="e">
        <f>COUNTIFS(#REF!,$C38,#REF!,$E38,#REF!,$F38,#REF!,"лично")</f>
        <v>#REF!</v>
      </c>
    </row>
    <row r="39" spans="1:50" ht="12" customHeight="1">
      <c r="A39" s="94">
        <v>19</v>
      </c>
      <c r="B39" s="66" t="s">
        <v>11</v>
      </c>
      <c r="C39" s="255" t="s">
        <v>161</v>
      </c>
      <c r="D39" s="95" t="s">
        <v>433</v>
      </c>
      <c r="E39" s="1052"/>
      <c r="F39" s="258" t="str">
        <f t="shared" si="0"/>
        <v>Сокращенное название</v>
      </c>
      <c r="G39" s="259" t="s">
        <v>325</v>
      </c>
      <c r="H39" s="469" t="str">
        <f t="shared" si="5"/>
        <v>Фамилия_1 Имя Отчество</v>
      </c>
      <c r="I39" s="260">
        <f t="shared" si="3"/>
        <v>0</v>
      </c>
      <c r="J39" s="201">
        <f t="shared" si="4"/>
        <v>0</v>
      </c>
      <c r="K39" s="261"/>
      <c r="L39" s="262"/>
      <c r="M39" s="262"/>
      <c r="N39" s="263"/>
      <c r="O39" s="264"/>
      <c r="P39" s="262"/>
      <c r="Q39" s="262"/>
      <c r="R39" s="262"/>
      <c r="S39" s="262"/>
      <c r="T39" s="262"/>
      <c r="U39" s="262"/>
      <c r="V39" s="262"/>
      <c r="W39" s="262"/>
      <c r="X39" s="262"/>
      <c r="Y39" s="265"/>
      <c r="Z39" s="266"/>
      <c r="AA39" s="195"/>
      <c r="AB39" s="195"/>
      <c r="AC39" s="65"/>
      <c r="AD39" s="186"/>
      <c r="AE39" s="261"/>
      <c r="AF39" s="264"/>
      <c r="AG39" s="262"/>
      <c r="AH39" s="268"/>
      <c r="AI39" s="186"/>
      <c r="AJ39" s="65"/>
      <c r="AK39" s="840"/>
      <c r="AL39" s="197"/>
      <c r="AM39" s="261"/>
      <c r="AN39" s="180"/>
      <c r="AO39" s="261"/>
      <c r="AP39" s="188"/>
      <c r="AQ39" s="261"/>
      <c r="AR39" s="180"/>
      <c r="AS39" s="261"/>
      <c r="AT39" s="188"/>
      <c r="AU39" s="56"/>
      <c r="AV39" s="10" t="e">
        <f>SUMIFS(#REF!,#REF!,$C39,#REF!,$E39,#REF!,$F39)</f>
        <v>#REF!</v>
      </c>
      <c r="AW39" s="29" t="e">
        <f>COUNTIFS(#REF!,$C39,#REF!,$E39,#REF!,$F39,#REF!,"&gt;=0")</f>
        <v>#REF!</v>
      </c>
      <c r="AX39" s="10" t="e">
        <f>COUNTIFS(#REF!,$C39,#REF!,$E39,#REF!,$F39,#REF!,"лично")</f>
        <v>#REF!</v>
      </c>
    </row>
    <row r="40" spans="1:50" ht="12" customHeight="1">
      <c r="A40" s="94">
        <v>20</v>
      </c>
      <c r="B40" s="257" t="s">
        <v>25</v>
      </c>
      <c r="C40" s="255" t="s">
        <v>161</v>
      </c>
      <c r="D40" s="95" t="s">
        <v>433</v>
      </c>
      <c r="E40" s="1052"/>
      <c r="F40" s="258" t="str">
        <f t="shared" si="0"/>
        <v>Сокращенное название</v>
      </c>
      <c r="G40" s="259" t="s">
        <v>325</v>
      </c>
      <c r="H40" s="469" t="str">
        <f t="shared" si="5"/>
        <v>Фамилия_1 Имя Отчество</v>
      </c>
      <c r="I40" s="260">
        <f t="shared" si="3"/>
        <v>0</v>
      </c>
      <c r="J40" s="201">
        <f t="shared" si="4"/>
        <v>0</v>
      </c>
      <c r="K40" s="261"/>
      <c r="L40" s="262"/>
      <c r="M40" s="262"/>
      <c r="N40" s="263"/>
      <c r="O40" s="264"/>
      <c r="P40" s="262"/>
      <c r="Q40" s="262"/>
      <c r="R40" s="262"/>
      <c r="S40" s="262"/>
      <c r="T40" s="262"/>
      <c r="U40" s="262"/>
      <c r="V40" s="262"/>
      <c r="W40" s="262"/>
      <c r="X40" s="262"/>
      <c r="Y40" s="265"/>
      <c r="Z40" s="266"/>
      <c r="AA40" s="195"/>
      <c r="AB40" s="195"/>
      <c r="AC40" s="65"/>
      <c r="AD40" s="186"/>
      <c r="AE40" s="261"/>
      <c r="AF40" s="264"/>
      <c r="AG40" s="262"/>
      <c r="AH40" s="268"/>
      <c r="AI40" s="186"/>
      <c r="AJ40" s="65"/>
      <c r="AK40" s="840"/>
      <c r="AL40" s="197"/>
      <c r="AM40" s="261"/>
      <c r="AN40" s="180"/>
      <c r="AO40" s="261"/>
      <c r="AP40" s="188"/>
      <c r="AQ40" s="261"/>
      <c r="AR40" s="180"/>
      <c r="AS40" s="261"/>
      <c r="AT40" s="188"/>
      <c r="AU40" s="56"/>
      <c r="AV40" s="10" t="e">
        <f>SUMIFS(#REF!,#REF!,$C40,#REF!,$E40,#REF!,$F40)</f>
        <v>#REF!</v>
      </c>
      <c r="AW40" s="29" t="e">
        <f>COUNTIFS(#REF!,$C40,#REF!,$E40,#REF!,$F40,#REF!,"&gt;=0")</f>
        <v>#REF!</v>
      </c>
      <c r="AX40" s="10" t="e">
        <f>COUNTIFS(#REF!,$C40,#REF!,$E40,#REF!,$F40,#REF!,"лично")</f>
        <v>#REF!</v>
      </c>
    </row>
    <row r="41" spans="1:50" ht="12" customHeight="1">
      <c r="A41" s="94">
        <v>21</v>
      </c>
      <c r="B41" s="257" t="s">
        <v>27</v>
      </c>
      <c r="C41" s="255" t="s">
        <v>161</v>
      </c>
      <c r="D41" s="95" t="s">
        <v>433</v>
      </c>
      <c r="E41" s="1052"/>
      <c r="F41" s="258" t="str">
        <f t="shared" si="0"/>
        <v>Сокращенное название</v>
      </c>
      <c r="G41" s="259" t="s">
        <v>325</v>
      </c>
      <c r="H41" s="469" t="str">
        <f t="shared" si="5"/>
        <v>Фамилия_1 Имя Отчество</v>
      </c>
      <c r="I41" s="260">
        <f t="shared" si="3"/>
        <v>0</v>
      </c>
      <c r="J41" s="201">
        <f t="shared" si="4"/>
        <v>0</v>
      </c>
      <c r="K41" s="261"/>
      <c r="L41" s="262"/>
      <c r="M41" s="262"/>
      <c r="N41" s="263"/>
      <c r="O41" s="264"/>
      <c r="P41" s="262"/>
      <c r="Q41" s="262"/>
      <c r="R41" s="262"/>
      <c r="S41" s="262"/>
      <c r="T41" s="262"/>
      <c r="U41" s="262"/>
      <c r="V41" s="262"/>
      <c r="W41" s="262"/>
      <c r="X41" s="262"/>
      <c r="Y41" s="265"/>
      <c r="Z41" s="266"/>
      <c r="AA41" s="195"/>
      <c r="AB41" s="195"/>
      <c r="AC41" s="65"/>
      <c r="AD41" s="186"/>
      <c r="AE41" s="261"/>
      <c r="AF41" s="264"/>
      <c r="AG41" s="262"/>
      <c r="AH41" s="268"/>
      <c r="AI41" s="186"/>
      <c r="AJ41" s="65"/>
      <c r="AK41" s="840"/>
      <c r="AL41" s="197"/>
      <c r="AM41" s="261"/>
      <c r="AN41" s="180"/>
      <c r="AO41" s="261"/>
      <c r="AP41" s="188"/>
      <c r="AQ41" s="261"/>
      <c r="AR41" s="180"/>
      <c r="AS41" s="261"/>
      <c r="AT41" s="188"/>
      <c r="AU41" s="56"/>
      <c r="AV41" s="10" t="e">
        <f>SUMIFS(#REF!,#REF!,$C41,#REF!,$E41,#REF!,$F41)</f>
        <v>#REF!</v>
      </c>
      <c r="AW41" s="29" t="e">
        <f>COUNTIFS(#REF!,$C41,#REF!,$E41,#REF!,$F41,#REF!,"&gt;=0")</f>
        <v>#REF!</v>
      </c>
      <c r="AX41" s="10" t="e">
        <f>COUNTIFS(#REF!,$C41,#REF!,$E41,#REF!,$F41,#REF!,"лично")</f>
        <v>#REF!</v>
      </c>
    </row>
    <row r="42" spans="1:50" ht="12" customHeight="1">
      <c r="A42" s="94">
        <v>22</v>
      </c>
      <c r="B42" s="257" t="s">
        <v>1</v>
      </c>
      <c r="C42" s="255" t="s">
        <v>161</v>
      </c>
      <c r="D42" s="95" t="s">
        <v>433</v>
      </c>
      <c r="E42" s="1052"/>
      <c r="F42" s="258" t="str">
        <f t="shared" si="0"/>
        <v>Сокращенное название</v>
      </c>
      <c r="G42" s="259" t="s">
        <v>325</v>
      </c>
      <c r="H42" s="469" t="str">
        <f t="shared" si="5"/>
        <v>Фамилия_1 Имя Отчество</v>
      </c>
      <c r="I42" s="260">
        <f t="shared" si="3"/>
        <v>0</v>
      </c>
      <c r="J42" s="201">
        <f t="shared" si="4"/>
        <v>0</v>
      </c>
      <c r="K42" s="261"/>
      <c r="L42" s="262"/>
      <c r="M42" s="262"/>
      <c r="N42" s="263"/>
      <c r="O42" s="264"/>
      <c r="P42" s="262"/>
      <c r="Q42" s="262"/>
      <c r="R42" s="262"/>
      <c r="S42" s="262"/>
      <c r="T42" s="262"/>
      <c r="U42" s="262"/>
      <c r="V42" s="262"/>
      <c r="W42" s="262"/>
      <c r="X42" s="262"/>
      <c r="Y42" s="265"/>
      <c r="Z42" s="266"/>
      <c r="AA42" s="195"/>
      <c r="AB42" s="195"/>
      <c r="AC42" s="65"/>
      <c r="AD42" s="186"/>
      <c r="AE42" s="261"/>
      <c r="AF42" s="264"/>
      <c r="AG42" s="262"/>
      <c r="AH42" s="268"/>
      <c r="AI42" s="186"/>
      <c r="AJ42" s="65"/>
      <c r="AK42" s="840"/>
      <c r="AL42" s="197"/>
      <c r="AM42" s="261"/>
      <c r="AN42" s="180"/>
      <c r="AO42" s="261"/>
      <c r="AP42" s="188"/>
      <c r="AQ42" s="261"/>
      <c r="AR42" s="180"/>
      <c r="AS42" s="261"/>
      <c r="AT42" s="188"/>
      <c r="AU42" s="56"/>
      <c r="AV42" s="10" t="e">
        <f>SUMIFS(#REF!,#REF!,$C42,#REF!,$E42,#REF!,$F42)</f>
        <v>#REF!</v>
      </c>
      <c r="AW42" s="29" t="e">
        <f>COUNTIFS(#REF!,$C42,#REF!,$E42,#REF!,$F42,#REF!,"&gt;=0")</f>
        <v>#REF!</v>
      </c>
      <c r="AX42" s="10" t="e">
        <f>COUNTIFS(#REF!,$C42,#REF!,$E42,#REF!,$F42,#REF!,"лично")</f>
        <v>#REF!</v>
      </c>
    </row>
    <row r="43" spans="1:50" ht="12" customHeight="1">
      <c r="A43" s="94">
        <v>23</v>
      </c>
      <c r="B43" s="257" t="s">
        <v>27</v>
      </c>
      <c r="C43" s="255" t="s">
        <v>161</v>
      </c>
      <c r="D43" s="95" t="s">
        <v>433</v>
      </c>
      <c r="E43" s="1052"/>
      <c r="F43" s="258" t="str">
        <f t="shared" si="0"/>
        <v>Сокращенное название</v>
      </c>
      <c r="G43" s="259" t="s">
        <v>325</v>
      </c>
      <c r="H43" s="469" t="str">
        <f t="shared" si="5"/>
        <v>Фамилия_1 Имя Отчество</v>
      </c>
      <c r="I43" s="260">
        <f t="shared" si="3"/>
        <v>0</v>
      </c>
      <c r="J43" s="201">
        <f t="shared" si="4"/>
        <v>0</v>
      </c>
      <c r="K43" s="261"/>
      <c r="L43" s="262"/>
      <c r="M43" s="262"/>
      <c r="N43" s="263"/>
      <c r="O43" s="264"/>
      <c r="P43" s="262"/>
      <c r="Q43" s="262"/>
      <c r="R43" s="262"/>
      <c r="S43" s="262"/>
      <c r="T43" s="262"/>
      <c r="U43" s="262"/>
      <c r="V43" s="262"/>
      <c r="W43" s="262"/>
      <c r="X43" s="262"/>
      <c r="Y43" s="265"/>
      <c r="Z43" s="266"/>
      <c r="AA43" s="195"/>
      <c r="AB43" s="195"/>
      <c r="AC43" s="65"/>
      <c r="AD43" s="186"/>
      <c r="AE43" s="261"/>
      <c r="AF43" s="264"/>
      <c r="AG43" s="262"/>
      <c r="AH43" s="268"/>
      <c r="AI43" s="186"/>
      <c r="AJ43" s="65"/>
      <c r="AK43" s="840"/>
      <c r="AL43" s="197"/>
      <c r="AM43" s="261"/>
      <c r="AN43" s="180"/>
      <c r="AO43" s="261"/>
      <c r="AP43" s="188"/>
      <c r="AQ43" s="261"/>
      <c r="AR43" s="180"/>
      <c r="AS43" s="261"/>
      <c r="AT43" s="188"/>
      <c r="AU43" s="56"/>
      <c r="AV43" s="10" t="e">
        <f>SUMIFS(#REF!,#REF!,$C43,#REF!,$E43,#REF!,$F43)</f>
        <v>#REF!</v>
      </c>
      <c r="AW43" s="29" t="e">
        <f>COUNTIFS(#REF!,$C43,#REF!,$E43,#REF!,$F43,#REF!,"&gt;=0")</f>
        <v>#REF!</v>
      </c>
      <c r="AX43" s="10" t="e">
        <f>COUNTIFS(#REF!,$C43,#REF!,$E43,#REF!,$F43,#REF!,"лично")</f>
        <v>#REF!</v>
      </c>
    </row>
    <row r="44" spans="1:50" ht="12" customHeight="1">
      <c r="A44" s="94">
        <v>24</v>
      </c>
      <c r="B44" s="257" t="s">
        <v>1</v>
      </c>
      <c r="C44" s="255" t="s">
        <v>161</v>
      </c>
      <c r="D44" s="95" t="s">
        <v>433</v>
      </c>
      <c r="E44" s="1052"/>
      <c r="F44" s="258" t="str">
        <f t="shared" si="0"/>
        <v>Сокращенное название</v>
      </c>
      <c r="G44" s="259" t="s">
        <v>325</v>
      </c>
      <c r="H44" s="469" t="str">
        <f t="shared" si="5"/>
        <v>Фамилия_1 Имя Отчество</v>
      </c>
      <c r="I44" s="260">
        <f t="shared" si="3"/>
        <v>0</v>
      </c>
      <c r="J44" s="201">
        <f t="shared" si="4"/>
        <v>0</v>
      </c>
      <c r="K44" s="261"/>
      <c r="L44" s="262"/>
      <c r="M44" s="262"/>
      <c r="N44" s="263"/>
      <c r="O44" s="264"/>
      <c r="P44" s="262"/>
      <c r="Q44" s="262"/>
      <c r="R44" s="262"/>
      <c r="S44" s="262"/>
      <c r="T44" s="262"/>
      <c r="U44" s="262"/>
      <c r="V44" s="262"/>
      <c r="W44" s="262"/>
      <c r="X44" s="262"/>
      <c r="Y44" s="265"/>
      <c r="Z44" s="266"/>
      <c r="AA44" s="195"/>
      <c r="AB44" s="195"/>
      <c r="AC44" s="65"/>
      <c r="AD44" s="186"/>
      <c r="AE44" s="261"/>
      <c r="AF44" s="264"/>
      <c r="AG44" s="262"/>
      <c r="AH44" s="268"/>
      <c r="AI44" s="186"/>
      <c r="AJ44" s="65"/>
      <c r="AK44" s="840"/>
      <c r="AL44" s="197"/>
      <c r="AM44" s="261"/>
      <c r="AN44" s="180"/>
      <c r="AO44" s="261"/>
      <c r="AP44" s="188"/>
      <c r="AQ44" s="261"/>
      <c r="AR44" s="180"/>
      <c r="AS44" s="261"/>
      <c r="AT44" s="188"/>
      <c r="AU44" s="56"/>
      <c r="AV44" s="10" t="e">
        <f>SUMIFS(#REF!,#REF!,$C44,#REF!,$E44,#REF!,$F44)</f>
        <v>#REF!</v>
      </c>
      <c r="AW44" s="29" t="e">
        <f>COUNTIFS(#REF!,$C44,#REF!,$E44,#REF!,$F44,#REF!,"&gt;=0")</f>
        <v>#REF!</v>
      </c>
      <c r="AX44" s="10" t="e">
        <f>COUNTIFS(#REF!,$C44,#REF!,$E44,#REF!,$F44,#REF!,"лично")</f>
        <v>#REF!</v>
      </c>
    </row>
    <row r="45" spans="1:50" ht="12.75" customHeight="1" thickBot="1">
      <c r="A45" s="94">
        <v>25</v>
      </c>
      <c r="B45" s="220" t="s">
        <v>13</v>
      </c>
      <c r="C45" s="269" t="s">
        <v>161</v>
      </c>
      <c r="D45" s="97" t="s">
        <v>433</v>
      </c>
      <c r="E45" s="1054"/>
      <c r="F45" s="271" t="str">
        <f t="shared" si="0"/>
        <v>Сокращенное название</v>
      </c>
      <c r="G45" s="272" t="s">
        <v>325</v>
      </c>
      <c r="H45" s="470" t="str">
        <f t="shared" si="5"/>
        <v>Фамилия_1 Имя Отчество</v>
      </c>
      <c r="I45" s="273">
        <f t="shared" si="3"/>
        <v>0</v>
      </c>
      <c r="J45" s="202">
        <f t="shared" si="4"/>
        <v>0</v>
      </c>
      <c r="K45" s="274"/>
      <c r="L45" s="275"/>
      <c r="M45" s="275"/>
      <c r="N45" s="276"/>
      <c r="O45" s="277"/>
      <c r="P45" s="275"/>
      <c r="Q45" s="275"/>
      <c r="R45" s="275"/>
      <c r="S45" s="275"/>
      <c r="T45" s="275"/>
      <c r="U45" s="275"/>
      <c r="V45" s="275"/>
      <c r="W45" s="275"/>
      <c r="X45" s="275"/>
      <c r="Y45" s="278"/>
      <c r="Z45" s="279"/>
      <c r="AA45" s="196"/>
      <c r="AB45" s="196"/>
      <c r="AC45" s="67"/>
      <c r="AD45" s="187"/>
      <c r="AE45" s="274"/>
      <c r="AF45" s="277"/>
      <c r="AG45" s="275"/>
      <c r="AH45" s="280"/>
      <c r="AI45" s="187"/>
      <c r="AJ45" s="67"/>
      <c r="AK45" s="841"/>
      <c r="AL45" s="198"/>
      <c r="AM45" s="274"/>
      <c r="AN45" s="181"/>
      <c r="AO45" s="274"/>
      <c r="AP45" s="189"/>
      <c r="AQ45" s="274"/>
      <c r="AR45" s="181"/>
      <c r="AS45" s="274"/>
      <c r="AT45" s="189"/>
      <c r="AU45" s="56"/>
      <c r="AV45" s="10" t="e">
        <f>SUMIFS(#REF!,#REF!,$C45,#REF!,$E45,#REF!,$F45)</f>
        <v>#REF!</v>
      </c>
      <c r="AW45" s="29" t="e">
        <f>COUNTIFS(#REF!,$C45,#REF!,$E45,#REF!,$F45,#REF!,"&gt;=0")</f>
        <v>#REF!</v>
      </c>
      <c r="AX45" s="10" t="e">
        <f>COUNTIFS(#REF!,$C45,#REF!,$E45,#REF!,$F45,#REF!,"лично")</f>
        <v>#REF!</v>
      </c>
    </row>
    <row r="46" spans="1:50" ht="12" customHeight="1">
      <c r="A46" s="92">
        <f t="shared" ref="A46:A70" si="6">A45+1</f>
        <v>26</v>
      </c>
      <c r="B46" s="62" t="s">
        <v>11</v>
      </c>
      <c r="C46" s="244" t="s">
        <v>162</v>
      </c>
      <c r="D46" s="93" t="s">
        <v>433</v>
      </c>
      <c r="E46" s="1053"/>
      <c r="F46" s="98" t="str">
        <f t="shared" si="0"/>
        <v>Сокращенное название</v>
      </c>
      <c r="G46" s="246" t="s">
        <v>326</v>
      </c>
      <c r="H46" s="468" t="str">
        <f t="shared" si="5"/>
        <v>Фамилия_1 Имя Отчество</v>
      </c>
      <c r="I46" s="247">
        <f t="shared" si="3"/>
        <v>0</v>
      </c>
      <c r="J46" s="200">
        <f t="shared" si="4"/>
        <v>0</v>
      </c>
      <c r="K46" s="281"/>
      <c r="L46" s="282"/>
      <c r="M46" s="282"/>
      <c r="N46" s="283"/>
      <c r="O46" s="284"/>
      <c r="P46" s="282"/>
      <c r="Q46" s="282"/>
      <c r="R46" s="282"/>
      <c r="S46" s="282"/>
      <c r="T46" s="282"/>
      <c r="U46" s="282"/>
      <c r="V46" s="282"/>
      <c r="W46" s="282"/>
      <c r="X46" s="282"/>
      <c r="Y46" s="282"/>
      <c r="Z46" s="283"/>
      <c r="AA46" s="194"/>
      <c r="AB46" s="194"/>
      <c r="AC46" s="64"/>
      <c r="AD46" s="185"/>
      <c r="AE46" s="248"/>
      <c r="AF46" s="251"/>
      <c r="AG46" s="249"/>
      <c r="AH46" s="253"/>
      <c r="AI46" s="185"/>
      <c r="AJ46" s="843"/>
      <c r="AK46" s="842"/>
      <c r="AL46" s="199"/>
      <c r="AM46" s="281"/>
      <c r="AN46" s="191"/>
      <c r="AO46" s="281"/>
      <c r="AP46" s="191"/>
      <c r="AQ46" s="281"/>
      <c r="AR46" s="191"/>
      <c r="AS46" s="281"/>
      <c r="AT46" s="191"/>
      <c r="AU46" s="56"/>
      <c r="AV46" s="10" t="e">
        <f>SUMIFS(#REF!,#REF!,$C46,#REF!,$E46,#REF!,$F46)</f>
        <v>#REF!</v>
      </c>
      <c r="AW46" s="29" t="e">
        <f>COUNTIFS(#REF!,$C46,#REF!,$E46,#REF!,$F46,#REF!,"&gt;=0")</f>
        <v>#REF!</v>
      </c>
      <c r="AX46" s="10" t="e">
        <f>COUNTIFS(#REF!,$C46,#REF!,$E46,#REF!,$F46,#REF!,"лично")</f>
        <v>#REF!</v>
      </c>
    </row>
    <row r="47" spans="1:50" ht="12" customHeight="1">
      <c r="A47" s="94">
        <f t="shared" si="6"/>
        <v>27</v>
      </c>
      <c r="B47" s="257" t="s">
        <v>13</v>
      </c>
      <c r="C47" s="255" t="s">
        <v>162</v>
      </c>
      <c r="D47" s="95" t="s">
        <v>433</v>
      </c>
      <c r="E47" s="1052"/>
      <c r="F47" s="285" t="str">
        <f t="shared" si="0"/>
        <v>Сокращенное название</v>
      </c>
      <c r="G47" s="259" t="s">
        <v>326</v>
      </c>
      <c r="H47" s="469" t="str">
        <f t="shared" si="5"/>
        <v>Фамилия_1 Имя Отчество</v>
      </c>
      <c r="I47" s="260">
        <f t="shared" si="3"/>
        <v>0</v>
      </c>
      <c r="J47" s="201">
        <f t="shared" si="4"/>
        <v>0</v>
      </c>
      <c r="K47" s="261"/>
      <c r="L47" s="262"/>
      <c r="M47" s="262"/>
      <c r="N47" s="263"/>
      <c r="O47" s="264"/>
      <c r="P47" s="262"/>
      <c r="Q47" s="262"/>
      <c r="R47" s="262"/>
      <c r="S47" s="262"/>
      <c r="T47" s="262"/>
      <c r="U47" s="262"/>
      <c r="V47" s="262"/>
      <c r="W47" s="262"/>
      <c r="X47" s="262"/>
      <c r="Y47" s="262"/>
      <c r="Z47" s="263"/>
      <c r="AA47" s="195"/>
      <c r="AB47" s="195"/>
      <c r="AC47" s="65"/>
      <c r="AD47" s="186"/>
      <c r="AE47" s="261"/>
      <c r="AF47" s="264"/>
      <c r="AG47" s="262"/>
      <c r="AH47" s="268"/>
      <c r="AI47" s="186"/>
      <c r="AJ47" s="65"/>
      <c r="AK47" s="840"/>
      <c r="AL47" s="197"/>
      <c r="AM47" s="261"/>
      <c r="AN47" s="188"/>
      <c r="AO47" s="261"/>
      <c r="AP47" s="188"/>
      <c r="AQ47" s="261"/>
      <c r="AR47" s="188"/>
      <c r="AS47" s="261"/>
      <c r="AT47" s="188"/>
      <c r="AU47" s="56"/>
      <c r="AV47" s="10" t="e">
        <f>SUMIFS(#REF!,#REF!,$C47,#REF!,$E47,#REF!,$F47)</f>
        <v>#REF!</v>
      </c>
      <c r="AW47" s="29" t="e">
        <f>COUNTIFS(#REF!,$C47,#REF!,$E47,#REF!,$F47,#REF!,"&gt;=0")</f>
        <v>#REF!</v>
      </c>
      <c r="AX47" s="10" t="e">
        <f>COUNTIFS(#REF!,$C47,#REF!,$E47,#REF!,$F47,#REF!,"лично")</f>
        <v>#REF!</v>
      </c>
    </row>
    <row r="48" spans="1:50" ht="12" customHeight="1">
      <c r="A48" s="94">
        <f t="shared" si="6"/>
        <v>28</v>
      </c>
      <c r="B48" s="257" t="s">
        <v>23</v>
      </c>
      <c r="C48" s="255" t="s">
        <v>162</v>
      </c>
      <c r="D48" s="95" t="s">
        <v>433</v>
      </c>
      <c r="E48" s="1052"/>
      <c r="F48" s="285" t="str">
        <f t="shared" si="0"/>
        <v>Сокращенное название</v>
      </c>
      <c r="G48" s="259" t="s">
        <v>326</v>
      </c>
      <c r="H48" s="469" t="str">
        <f t="shared" si="5"/>
        <v>Фамилия_1 Имя Отчество</v>
      </c>
      <c r="I48" s="260">
        <f t="shared" si="3"/>
        <v>0</v>
      </c>
      <c r="J48" s="201">
        <f t="shared" si="4"/>
        <v>0</v>
      </c>
      <c r="K48" s="261"/>
      <c r="L48" s="262"/>
      <c r="M48" s="262"/>
      <c r="N48" s="263"/>
      <c r="O48" s="264"/>
      <c r="P48" s="262"/>
      <c r="Q48" s="262"/>
      <c r="R48" s="262"/>
      <c r="S48" s="262"/>
      <c r="T48" s="262"/>
      <c r="U48" s="262"/>
      <c r="V48" s="262"/>
      <c r="W48" s="262"/>
      <c r="X48" s="262"/>
      <c r="Y48" s="262"/>
      <c r="Z48" s="263"/>
      <c r="AA48" s="195"/>
      <c r="AB48" s="195"/>
      <c r="AC48" s="65"/>
      <c r="AD48" s="186"/>
      <c r="AE48" s="261"/>
      <c r="AF48" s="264"/>
      <c r="AG48" s="262"/>
      <c r="AH48" s="268"/>
      <c r="AI48" s="186"/>
      <c r="AJ48" s="65"/>
      <c r="AK48" s="840"/>
      <c r="AL48" s="197"/>
      <c r="AM48" s="261"/>
      <c r="AN48" s="188"/>
      <c r="AO48" s="261"/>
      <c r="AP48" s="188"/>
      <c r="AQ48" s="261"/>
      <c r="AR48" s="188"/>
      <c r="AS48" s="261"/>
      <c r="AT48" s="188"/>
      <c r="AU48" s="56"/>
      <c r="AV48" s="10" t="e">
        <f>SUMIFS(#REF!,#REF!,$C48,#REF!,$E48,#REF!,$F48)</f>
        <v>#REF!</v>
      </c>
      <c r="AW48" s="29" t="e">
        <f>COUNTIFS(#REF!,$C48,#REF!,$E48,#REF!,$F48,#REF!,"&gt;=0")</f>
        <v>#REF!</v>
      </c>
      <c r="AX48" s="10" t="e">
        <f>COUNTIFS(#REF!,$C48,#REF!,$E48,#REF!,$F48,#REF!,"лично")</f>
        <v>#REF!</v>
      </c>
    </row>
    <row r="49" spans="1:50" ht="12" customHeight="1">
      <c r="A49" s="94">
        <f t="shared" si="6"/>
        <v>29</v>
      </c>
      <c r="B49" s="257" t="s">
        <v>25</v>
      </c>
      <c r="C49" s="255" t="s">
        <v>162</v>
      </c>
      <c r="D49" s="95" t="s">
        <v>433</v>
      </c>
      <c r="E49" s="1052"/>
      <c r="F49" s="285" t="str">
        <f t="shared" si="0"/>
        <v>Сокращенное название</v>
      </c>
      <c r="G49" s="259" t="s">
        <v>326</v>
      </c>
      <c r="H49" s="469" t="str">
        <f t="shared" si="5"/>
        <v>Фамилия_1 Имя Отчество</v>
      </c>
      <c r="I49" s="260">
        <f t="shared" si="3"/>
        <v>0</v>
      </c>
      <c r="J49" s="201">
        <f t="shared" si="4"/>
        <v>0</v>
      </c>
      <c r="K49" s="261"/>
      <c r="L49" s="262"/>
      <c r="M49" s="262"/>
      <c r="N49" s="263"/>
      <c r="O49" s="264"/>
      <c r="P49" s="262"/>
      <c r="Q49" s="262"/>
      <c r="R49" s="262"/>
      <c r="S49" s="262"/>
      <c r="T49" s="262"/>
      <c r="U49" s="262"/>
      <c r="V49" s="262"/>
      <c r="W49" s="262"/>
      <c r="X49" s="262"/>
      <c r="Y49" s="262"/>
      <c r="Z49" s="263"/>
      <c r="AA49" s="195"/>
      <c r="AB49" s="195"/>
      <c r="AC49" s="65"/>
      <c r="AD49" s="186"/>
      <c r="AE49" s="261"/>
      <c r="AF49" s="264"/>
      <c r="AG49" s="262"/>
      <c r="AH49" s="268"/>
      <c r="AI49" s="186"/>
      <c r="AJ49" s="65"/>
      <c r="AK49" s="840"/>
      <c r="AL49" s="197"/>
      <c r="AM49" s="261"/>
      <c r="AN49" s="188"/>
      <c r="AO49" s="261"/>
      <c r="AP49" s="188"/>
      <c r="AQ49" s="261"/>
      <c r="AR49" s="188"/>
      <c r="AS49" s="261"/>
      <c r="AT49" s="188"/>
      <c r="AU49" s="56"/>
      <c r="AV49" s="10" t="e">
        <f>SUMIFS(#REF!,#REF!,$C49,#REF!,$E49,#REF!,$F49)</f>
        <v>#REF!</v>
      </c>
      <c r="AW49" s="29" t="e">
        <f>COUNTIFS(#REF!,$C49,#REF!,$E49,#REF!,$F49,#REF!,"&gt;=0")</f>
        <v>#REF!</v>
      </c>
      <c r="AX49" s="10" t="e">
        <f>COUNTIFS(#REF!,$C49,#REF!,$E49,#REF!,$F49,#REF!,"лично")</f>
        <v>#REF!</v>
      </c>
    </row>
    <row r="50" spans="1:50" ht="12" customHeight="1">
      <c r="A50" s="94">
        <f t="shared" si="6"/>
        <v>30</v>
      </c>
      <c r="B50" s="257" t="s">
        <v>27</v>
      </c>
      <c r="C50" s="255" t="s">
        <v>162</v>
      </c>
      <c r="D50" s="95" t="s">
        <v>433</v>
      </c>
      <c r="E50" s="1052"/>
      <c r="F50" s="285" t="str">
        <f t="shared" si="0"/>
        <v>Сокращенное название</v>
      </c>
      <c r="G50" s="259" t="s">
        <v>326</v>
      </c>
      <c r="H50" s="469" t="str">
        <f t="shared" si="5"/>
        <v>Фамилия_1 Имя Отчество</v>
      </c>
      <c r="I50" s="260">
        <f t="shared" si="3"/>
        <v>0</v>
      </c>
      <c r="J50" s="201">
        <f t="shared" si="4"/>
        <v>0</v>
      </c>
      <c r="K50" s="261"/>
      <c r="L50" s="262"/>
      <c r="M50" s="262"/>
      <c r="N50" s="263"/>
      <c r="O50" s="264"/>
      <c r="P50" s="262"/>
      <c r="Q50" s="262"/>
      <c r="R50" s="262"/>
      <c r="S50" s="262"/>
      <c r="T50" s="262"/>
      <c r="U50" s="262"/>
      <c r="V50" s="262"/>
      <c r="W50" s="262"/>
      <c r="X50" s="262"/>
      <c r="Y50" s="262"/>
      <c r="Z50" s="263"/>
      <c r="AA50" s="195"/>
      <c r="AB50" s="195"/>
      <c r="AC50" s="65"/>
      <c r="AD50" s="186"/>
      <c r="AE50" s="261"/>
      <c r="AF50" s="264"/>
      <c r="AG50" s="262"/>
      <c r="AH50" s="268"/>
      <c r="AI50" s="186"/>
      <c r="AJ50" s="65"/>
      <c r="AK50" s="840"/>
      <c r="AL50" s="197"/>
      <c r="AM50" s="261"/>
      <c r="AN50" s="188"/>
      <c r="AO50" s="261"/>
      <c r="AP50" s="188"/>
      <c r="AQ50" s="261"/>
      <c r="AR50" s="188"/>
      <c r="AS50" s="261"/>
      <c r="AT50" s="188"/>
      <c r="AU50" s="56"/>
      <c r="AV50" s="10" t="e">
        <f>SUMIFS(#REF!,#REF!,$C50,#REF!,$E50,#REF!,$F50)</f>
        <v>#REF!</v>
      </c>
      <c r="AW50" s="29" t="e">
        <f>COUNTIFS(#REF!,$C50,#REF!,$E50,#REF!,$F50,#REF!,"&gt;=0")</f>
        <v>#REF!</v>
      </c>
      <c r="AX50" s="10" t="e">
        <f>COUNTIFS(#REF!,$C50,#REF!,$E50,#REF!,$F50,#REF!,"лично")</f>
        <v>#REF!</v>
      </c>
    </row>
    <row r="51" spans="1:50" ht="12" customHeight="1">
      <c r="A51" s="94">
        <f t="shared" si="6"/>
        <v>31</v>
      </c>
      <c r="B51" s="257" t="s">
        <v>29</v>
      </c>
      <c r="C51" s="255" t="s">
        <v>162</v>
      </c>
      <c r="D51" s="95" t="s">
        <v>433</v>
      </c>
      <c r="E51" s="1052"/>
      <c r="F51" s="285" t="str">
        <f t="shared" si="0"/>
        <v>Сокращенное название</v>
      </c>
      <c r="G51" s="259" t="s">
        <v>326</v>
      </c>
      <c r="H51" s="469" t="str">
        <f t="shared" si="5"/>
        <v>Фамилия_1 Имя Отчество</v>
      </c>
      <c r="I51" s="260">
        <f t="shared" si="3"/>
        <v>0</v>
      </c>
      <c r="J51" s="201">
        <f t="shared" si="4"/>
        <v>0</v>
      </c>
      <c r="K51" s="261"/>
      <c r="L51" s="262"/>
      <c r="M51" s="262"/>
      <c r="N51" s="263"/>
      <c r="O51" s="264"/>
      <c r="P51" s="262"/>
      <c r="Q51" s="262"/>
      <c r="R51" s="262"/>
      <c r="S51" s="262"/>
      <c r="T51" s="262"/>
      <c r="U51" s="262"/>
      <c r="V51" s="262"/>
      <c r="W51" s="262"/>
      <c r="X51" s="262"/>
      <c r="Y51" s="262"/>
      <c r="Z51" s="263"/>
      <c r="AA51" s="195"/>
      <c r="AB51" s="195"/>
      <c r="AC51" s="65"/>
      <c r="AD51" s="186"/>
      <c r="AE51" s="261"/>
      <c r="AF51" s="264"/>
      <c r="AG51" s="262"/>
      <c r="AH51" s="268"/>
      <c r="AI51" s="186"/>
      <c r="AJ51" s="65"/>
      <c r="AK51" s="840"/>
      <c r="AL51" s="197"/>
      <c r="AM51" s="261"/>
      <c r="AN51" s="188"/>
      <c r="AO51" s="261"/>
      <c r="AP51" s="188"/>
      <c r="AQ51" s="261"/>
      <c r="AR51" s="188"/>
      <c r="AS51" s="261"/>
      <c r="AT51" s="188"/>
      <c r="AU51" s="56"/>
      <c r="AV51" s="10" t="e">
        <f>SUMIFS(#REF!,#REF!,$C51,#REF!,$E51,#REF!,$F51)</f>
        <v>#REF!</v>
      </c>
      <c r="AW51" s="29" t="e">
        <f>COUNTIFS(#REF!,$C51,#REF!,$E51,#REF!,$F51,#REF!,"&gt;=0")</f>
        <v>#REF!</v>
      </c>
      <c r="AX51" s="10" t="e">
        <f>COUNTIFS(#REF!,$C51,#REF!,$E51,#REF!,$F51,#REF!,"лично")</f>
        <v>#REF!</v>
      </c>
    </row>
    <row r="52" spans="1:50" ht="12" customHeight="1">
      <c r="A52" s="94">
        <f t="shared" si="6"/>
        <v>32</v>
      </c>
      <c r="B52" s="257" t="s">
        <v>29</v>
      </c>
      <c r="C52" s="255" t="s">
        <v>162</v>
      </c>
      <c r="D52" s="95" t="s">
        <v>433</v>
      </c>
      <c r="E52" s="1052"/>
      <c r="F52" s="285" t="str">
        <f t="shared" si="0"/>
        <v>Сокращенное название</v>
      </c>
      <c r="G52" s="259" t="s">
        <v>326</v>
      </c>
      <c r="H52" s="469" t="str">
        <f t="shared" si="5"/>
        <v>Фамилия_1 Имя Отчество</v>
      </c>
      <c r="I52" s="260">
        <f t="shared" si="3"/>
        <v>0</v>
      </c>
      <c r="J52" s="201">
        <f t="shared" si="4"/>
        <v>0</v>
      </c>
      <c r="K52" s="261"/>
      <c r="L52" s="262"/>
      <c r="M52" s="262"/>
      <c r="N52" s="263"/>
      <c r="O52" s="264"/>
      <c r="P52" s="262"/>
      <c r="Q52" s="262"/>
      <c r="R52" s="262"/>
      <c r="S52" s="262"/>
      <c r="T52" s="262"/>
      <c r="U52" s="262"/>
      <c r="V52" s="262"/>
      <c r="W52" s="262"/>
      <c r="X52" s="262"/>
      <c r="Y52" s="262"/>
      <c r="Z52" s="263"/>
      <c r="AA52" s="195"/>
      <c r="AB52" s="195"/>
      <c r="AC52" s="65"/>
      <c r="AD52" s="186"/>
      <c r="AE52" s="261"/>
      <c r="AF52" s="264"/>
      <c r="AG52" s="262"/>
      <c r="AH52" s="268"/>
      <c r="AI52" s="186"/>
      <c r="AJ52" s="65"/>
      <c r="AK52" s="840"/>
      <c r="AL52" s="197"/>
      <c r="AM52" s="261"/>
      <c r="AN52" s="188"/>
      <c r="AO52" s="261"/>
      <c r="AP52" s="188"/>
      <c r="AQ52" s="261"/>
      <c r="AR52" s="188"/>
      <c r="AS52" s="261"/>
      <c r="AT52" s="188"/>
      <c r="AU52" s="56"/>
      <c r="AV52" s="10" t="e">
        <f>SUMIFS(#REF!,#REF!,$C52,#REF!,$E52,#REF!,$F52)</f>
        <v>#REF!</v>
      </c>
      <c r="AW52" s="29" t="e">
        <f>COUNTIFS(#REF!,$C52,#REF!,$E52,#REF!,$F52,#REF!,"&gt;=0")</f>
        <v>#REF!</v>
      </c>
      <c r="AX52" s="10" t="e">
        <f>COUNTIFS(#REF!,$C52,#REF!,$E52,#REF!,$F52,#REF!,"лично")</f>
        <v>#REF!</v>
      </c>
    </row>
    <row r="53" spans="1:50" ht="12" customHeight="1">
      <c r="A53" s="94">
        <f t="shared" si="6"/>
        <v>33</v>
      </c>
      <c r="B53" s="257" t="s">
        <v>29</v>
      </c>
      <c r="C53" s="255" t="s">
        <v>162</v>
      </c>
      <c r="D53" s="95" t="s">
        <v>433</v>
      </c>
      <c r="E53" s="1052"/>
      <c r="F53" s="285" t="str">
        <f t="shared" si="0"/>
        <v>Сокращенное название</v>
      </c>
      <c r="G53" s="259" t="s">
        <v>326</v>
      </c>
      <c r="H53" s="469" t="str">
        <f t="shared" si="5"/>
        <v>Фамилия_1 Имя Отчество</v>
      </c>
      <c r="I53" s="260">
        <f t="shared" ref="I53:I70" si="7">COUNTIF(K53:AL53,"&gt;=0")-COUNTIF(K53:AL53,"в")-COUNTIF(K53:AL53,"л")</f>
        <v>0</v>
      </c>
      <c r="J53" s="201">
        <f t="shared" si="4"/>
        <v>0</v>
      </c>
      <c r="K53" s="261"/>
      <c r="L53" s="262"/>
      <c r="M53" s="262"/>
      <c r="N53" s="263"/>
      <c r="O53" s="264"/>
      <c r="P53" s="262"/>
      <c r="Q53" s="262"/>
      <c r="R53" s="262"/>
      <c r="S53" s="262"/>
      <c r="T53" s="262"/>
      <c r="U53" s="262"/>
      <c r="V53" s="262"/>
      <c r="W53" s="262"/>
      <c r="X53" s="262"/>
      <c r="Y53" s="262"/>
      <c r="Z53" s="263"/>
      <c r="AA53" s="195"/>
      <c r="AB53" s="195"/>
      <c r="AC53" s="65"/>
      <c r="AD53" s="186"/>
      <c r="AE53" s="261"/>
      <c r="AF53" s="264"/>
      <c r="AG53" s="262"/>
      <c r="AH53" s="268"/>
      <c r="AI53" s="186"/>
      <c r="AJ53" s="65"/>
      <c r="AK53" s="840"/>
      <c r="AL53" s="197"/>
      <c r="AM53" s="261"/>
      <c r="AN53" s="188"/>
      <c r="AO53" s="261"/>
      <c r="AP53" s="188"/>
      <c r="AQ53" s="261"/>
      <c r="AR53" s="188"/>
      <c r="AS53" s="261"/>
      <c r="AT53" s="188"/>
      <c r="AU53" s="56"/>
      <c r="AV53" s="10" t="e">
        <f>SUMIFS(#REF!,#REF!,$C53,#REF!,$E53,#REF!,$F53)</f>
        <v>#REF!</v>
      </c>
      <c r="AW53" s="29" t="e">
        <f>COUNTIFS(#REF!,$C53,#REF!,$E53,#REF!,$F53,#REF!,"&gt;=0")</f>
        <v>#REF!</v>
      </c>
      <c r="AX53" s="10" t="e">
        <f>COUNTIFS(#REF!,$C53,#REF!,$E53,#REF!,$F53,#REF!,"лично")</f>
        <v>#REF!</v>
      </c>
    </row>
    <row r="54" spans="1:50" ht="12" customHeight="1">
      <c r="A54" s="94">
        <f t="shared" si="6"/>
        <v>34</v>
      </c>
      <c r="B54" s="257" t="s">
        <v>23</v>
      </c>
      <c r="C54" s="255" t="s">
        <v>162</v>
      </c>
      <c r="D54" s="95" t="s">
        <v>433</v>
      </c>
      <c r="E54" s="1052"/>
      <c r="F54" s="285" t="str">
        <f t="shared" si="0"/>
        <v>Сокращенное название</v>
      </c>
      <c r="G54" s="259" t="s">
        <v>326</v>
      </c>
      <c r="H54" s="469" t="str">
        <f t="shared" si="5"/>
        <v>Фамилия_1 Имя Отчество</v>
      </c>
      <c r="I54" s="260">
        <f t="shared" si="7"/>
        <v>0</v>
      </c>
      <c r="J54" s="201">
        <f t="shared" si="4"/>
        <v>0</v>
      </c>
      <c r="K54" s="261"/>
      <c r="L54" s="262"/>
      <c r="M54" s="262"/>
      <c r="N54" s="263"/>
      <c r="O54" s="264"/>
      <c r="P54" s="262"/>
      <c r="Q54" s="262"/>
      <c r="R54" s="262"/>
      <c r="S54" s="262"/>
      <c r="T54" s="262"/>
      <c r="U54" s="262"/>
      <c r="V54" s="262"/>
      <c r="W54" s="262"/>
      <c r="X54" s="262"/>
      <c r="Y54" s="262"/>
      <c r="Z54" s="263"/>
      <c r="AA54" s="195"/>
      <c r="AB54" s="195"/>
      <c r="AC54" s="65"/>
      <c r="AD54" s="186"/>
      <c r="AE54" s="261"/>
      <c r="AF54" s="264"/>
      <c r="AG54" s="262"/>
      <c r="AH54" s="268"/>
      <c r="AI54" s="186"/>
      <c r="AJ54" s="65"/>
      <c r="AK54" s="840"/>
      <c r="AL54" s="197"/>
      <c r="AM54" s="261"/>
      <c r="AN54" s="188"/>
      <c r="AO54" s="261"/>
      <c r="AP54" s="188"/>
      <c r="AQ54" s="261"/>
      <c r="AR54" s="188"/>
      <c r="AS54" s="261"/>
      <c r="AT54" s="188"/>
      <c r="AU54" s="56"/>
      <c r="AV54" s="10" t="e">
        <f>SUMIFS(#REF!,#REF!,$C54,#REF!,$E54,#REF!,$F54)</f>
        <v>#REF!</v>
      </c>
      <c r="AW54" s="29" t="e">
        <f>COUNTIFS(#REF!,$C54,#REF!,$E54,#REF!,$F54,#REF!,"&gt;=0")</f>
        <v>#REF!</v>
      </c>
      <c r="AX54" s="10" t="e">
        <f>COUNTIFS(#REF!,$C54,#REF!,$E54,#REF!,$F54,#REF!,"лично")</f>
        <v>#REF!</v>
      </c>
    </row>
    <row r="55" spans="1:50" ht="12" customHeight="1">
      <c r="A55" s="94">
        <f t="shared" si="6"/>
        <v>35</v>
      </c>
      <c r="B55" s="257" t="s">
        <v>25</v>
      </c>
      <c r="C55" s="255" t="s">
        <v>162</v>
      </c>
      <c r="D55" s="95" t="s">
        <v>433</v>
      </c>
      <c r="E55" s="1052"/>
      <c r="F55" s="285" t="str">
        <f t="shared" si="0"/>
        <v>Сокращенное название</v>
      </c>
      <c r="G55" s="259" t="s">
        <v>326</v>
      </c>
      <c r="H55" s="469" t="str">
        <f t="shared" si="5"/>
        <v>Фамилия_1 Имя Отчество</v>
      </c>
      <c r="I55" s="260">
        <f t="shared" si="7"/>
        <v>0</v>
      </c>
      <c r="J55" s="201">
        <f t="shared" si="4"/>
        <v>0</v>
      </c>
      <c r="K55" s="261"/>
      <c r="L55" s="262"/>
      <c r="M55" s="262"/>
      <c r="N55" s="263"/>
      <c r="O55" s="264"/>
      <c r="P55" s="262"/>
      <c r="Q55" s="262"/>
      <c r="R55" s="262"/>
      <c r="S55" s="262"/>
      <c r="T55" s="262"/>
      <c r="U55" s="262"/>
      <c r="V55" s="262"/>
      <c r="W55" s="262"/>
      <c r="X55" s="262"/>
      <c r="Y55" s="262"/>
      <c r="Z55" s="263"/>
      <c r="AA55" s="195"/>
      <c r="AB55" s="195"/>
      <c r="AC55" s="65"/>
      <c r="AD55" s="186"/>
      <c r="AE55" s="261"/>
      <c r="AF55" s="264"/>
      <c r="AG55" s="262"/>
      <c r="AH55" s="268"/>
      <c r="AI55" s="186"/>
      <c r="AJ55" s="65"/>
      <c r="AK55" s="840"/>
      <c r="AL55" s="197"/>
      <c r="AM55" s="261"/>
      <c r="AN55" s="188"/>
      <c r="AO55" s="261"/>
      <c r="AP55" s="188"/>
      <c r="AQ55" s="261"/>
      <c r="AR55" s="188"/>
      <c r="AS55" s="261"/>
      <c r="AT55" s="188"/>
      <c r="AU55" s="56"/>
      <c r="AV55" s="10" t="e">
        <f>SUMIFS(#REF!,#REF!,$C55,#REF!,$E55,#REF!,$F55)</f>
        <v>#REF!</v>
      </c>
      <c r="AW55" s="29" t="e">
        <f>COUNTIFS(#REF!,$C55,#REF!,$E55,#REF!,$F55,#REF!,"&gt;=0")</f>
        <v>#REF!</v>
      </c>
      <c r="AX55" s="10" t="e">
        <f>COUNTIFS(#REF!,$C55,#REF!,$E55,#REF!,$F55,#REF!,"лично")</f>
        <v>#REF!</v>
      </c>
    </row>
    <row r="56" spans="1:50" ht="12" customHeight="1">
      <c r="A56" s="94">
        <f t="shared" si="6"/>
        <v>36</v>
      </c>
      <c r="B56" s="257" t="s">
        <v>27</v>
      </c>
      <c r="C56" s="255" t="s">
        <v>162</v>
      </c>
      <c r="D56" s="95" t="s">
        <v>433</v>
      </c>
      <c r="E56" s="1052"/>
      <c r="F56" s="285" t="str">
        <f t="shared" si="0"/>
        <v>Сокращенное название</v>
      </c>
      <c r="G56" s="259" t="s">
        <v>326</v>
      </c>
      <c r="H56" s="469" t="str">
        <f t="shared" si="5"/>
        <v>Фамилия_1 Имя Отчество</v>
      </c>
      <c r="I56" s="260">
        <f t="shared" si="7"/>
        <v>0</v>
      </c>
      <c r="J56" s="201">
        <f t="shared" si="4"/>
        <v>0</v>
      </c>
      <c r="K56" s="261"/>
      <c r="L56" s="262"/>
      <c r="M56" s="262"/>
      <c r="N56" s="263"/>
      <c r="O56" s="264"/>
      <c r="P56" s="262"/>
      <c r="Q56" s="262"/>
      <c r="R56" s="262"/>
      <c r="S56" s="262"/>
      <c r="T56" s="262"/>
      <c r="U56" s="262"/>
      <c r="V56" s="262"/>
      <c r="W56" s="262"/>
      <c r="X56" s="262"/>
      <c r="Y56" s="262"/>
      <c r="Z56" s="263"/>
      <c r="AA56" s="195"/>
      <c r="AB56" s="195"/>
      <c r="AC56" s="65"/>
      <c r="AD56" s="186"/>
      <c r="AE56" s="261"/>
      <c r="AF56" s="264"/>
      <c r="AG56" s="262"/>
      <c r="AH56" s="268"/>
      <c r="AI56" s="186"/>
      <c r="AJ56" s="65"/>
      <c r="AK56" s="840"/>
      <c r="AL56" s="197"/>
      <c r="AM56" s="261"/>
      <c r="AN56" s="188"/>
      <c r="AO56" s="261"/>
      <c r="AP56" s="188"/>
      <c r="AQ56" s="261"/>
      <c r="AR56" s="188"/>
      <c r="AS56" s="261"/>
      <c r="AT56" s="188"/>
      <c r="AU56" s="56"/>
      <c r="AV56" s="10" t="e">
        <f>SUMIFS(#REF!,#REF!,$C56,#REF!,$E56,#REF!,$F56)</f>
        <v>#REF!</v>
      </c>
      <c r="AW56" s="29" t="e">
        <f>COUNTIFS(#REF!,$C56,#REF!,$E56,#REF!,$F56,#REF!,"&gt;=0")</f>
        <v>#REF!</v>
      </c>
      <c r="AX56" s="10" t="e">
        <f>COUNTIFS(#REF!,$C56,#REF!,$E56,#REF!,$F56,#REF!,"лично")</f>
        <v>#REF!</v>
      </c>
    </row>
    <row r="57" spans="1:50" ht="12" customHeight="1">
      <c r="A57" s="94">
        <f t="shared" si="6"/>
        <v>37</v>
      </c>
      <c r="B57" s="257" t="s">
        <v>29</v>
      </c>
      <c r="C57" s="255" t="s">
        <v>162</v>
      </c>
      <c r="D57" s="95" t="s">
        <v>433</v>
      </c>
      <c r="E57" s="1052"/>
      <c r="F57" s="285" t="str">
        <f t="shared" si="0"/>
        <v>Сокращенное название</v>
      </c>
      <c r="G57" s="259" t="s">
        <v>326</v>
      </c>
      <c r="H57" s="469" t="str">
        <f t="shared" si="5"/>
        <v>Фамилия_1 Имя Отчество</v>
      </c>
      <c r="I57" s="260">
        <f t="shared" si="7"/>
        <v>0</v>
      </c>
      <c r="J57" s="201">
        <f t="shared" si="4"/>
        <v>0</v>
      </c>
      <c r="K57" s="261"/>
      <c r="L57" s="262"/>
      <c r="M57" s="262"/>
      <c r="N57" s="263"/>
      <c r="O57" s="264"/>
      <c r="P57" s="262"/>
      <c r="Q57" s="262"/>
      <c r="R57" s="262"/>
      <c r="S57" s="262"/>
      <c r="T57" s="262"/>
      <c r="U57" s="262"/>
      <c r="V57" s="262"/>
      <c r="W57" s="262"/>
      <c r="X57" s="262"/>
      <c r="Y57" s="262"/>
      <c r="Z57" s="263"/>
      <c r="AA57" s="195"/>
      <c r="AB57" s="195"/>
      <c r="AC57" s="65"/>
      <c r="AD57" s="186"/>
      <c r="AE57" s="261"/>
      <c r="AF57" s="264"/>
      <c r="AG57" s="262"/>
      <c r="AH57" s="268"/>
      <c r="AI57" s="186"/>
      <c r="AJ57" s="65"/>
      <c r="AK57" s="840"/>
      <c r="AL57" s="197"/>
      <c r="AM57" s="261"/>
      <c r="AN57" s="188"/>
      <c r="AO57" s="261"/>
      <c r="AP57" s="188"/>
      <c r="AQ57" s="261"/>
      <c r="AR57" s="188"/>
      <c r="AS57" s="261"/>
      <c r="AT57" s="188"/>
      <c r="AU57" s="56"/>
      <c r="AV57" s="10" t="e">
        <f>SUMIFS(#REF!,#REF!,$C57,#REF!,$E57,#REF!,$F57)</f>
        <v>#REF!</v>
      </c>
      <c r="AW57" s="29" t="e">
        <f>COUNTIFS(#REF!,$C57,#REF!,$E57,#REF!,$F57,#REF!,"&gt;=0")</f>
        <v>#REF!</v>
      </c>
      <c r="AX57" s="10" t="e">
        <f>COUNTIFS(#REF!,$C57,#REF!,$E57,#REF!,$F57,#REF!,"лично")</f>
        <v>#REF!</v>
      </c>
    </row>
    <row r="58" spans="1:50" ht="12" customHeight="1">
      <c r="A58" s="94">
        <f t="shared" si="6"/>
        <v>38</v>
      </c>
      <c r="B58" s="257" t="s">
        <v>29</v>
      </c>
      <c r="C58" s="255" t="s">
        <v>162</v>
      </c>
      <c r="D58" s="95" t="s">
        <v>433</v>
      </c>
      <c r="E58" s="1052"/>
      <c r="F58" s="285" t="str">
        <f t="shared" si="0"/>
        <v>Сокращенное название</v>
      </c>
      <c r="G58" s="259" t="s">
        <v>326</v>
      </c>
      <c r="H58" s="469" t="str">
        <f t="shared" si="5"/>
        <v>Фамилия_1 Имя Отчество</v>
      </c>
      <c r="I58" s="260">
        <f t="shared" si="7"/>
        <v>0</v>
      </c>
      <c r="J58" s="201">
        <f t="shared" si="4"/>
        <v>0</v>
      </c>
      <c r="K58" s="261"/>
      <c r="L58" s="262"/>
      <c r="M58" s="262"/>
      <c r="N58" s="263"/>
      <c r="O58" s="264"/>
      <c r="P58" s="262"/>
      <c r="Q58" s="262"/>
      <c r="R58" s="262"/>
      <c r="S58" s="262"/>
      <c r="T58" s="262"/>
      <c r="U58" s="262"/>
      <c r="V58" s="262"/>
      <c r="W58" s="262"/>
      <c r="X58" s="262"/>
      <c r="Y58" s="262"/>
      <c r="Z58" s="263"/>
      <c r="AA58" s="195"/>
      <c r="AB58" s="195"/>
      <c r="AC58" s="65"/>
      <c r="AD58" s="186"/>
      <c r="AE58" s="261"/>
      <c r="AF58" s="264"/>
      <c r="AG58" s="262"/>
      <c r="AH58" s="268"/>
      <c r="AI58" s="186"/>
      <c r="AJ58" s="65"/>
      <c r="AK58" s="840"/>
      <c r="AL58" s="197"/>
      <c r="AM58" s="261"/>
      <c r="AN58" s="188"/>
      <c r="AO58" s="261"/>
      <c r="AP58" s="188"/>
      <c r="AQ58" s="261"/>
      <c r="AR58" s="188"/>
      <c r="AS58" s="261"/>
      <c r="AT58" s="188"/>
      <c r="AU58" s="56"/>
      <c r="AV58" s="10" t="e">
        <f>SUMIFS(#REF!,#REF!,$C58,#REF!,$E58,#REF!,$F58)</f>
        <v>#REF!</v>
      </c>
      <c r="AW58" s="29" t="e">
        <f>COUNTIFS(#REF!,$C58,#REF!,$E58,#REF!,$F58,#REF!,"&gt;=0")</f>
        <v>#REF!</v>
      </c>
      <c r="AX58" s="10" t="e">
        <f>COUNTIFS(#REF!,$C58,#REF!,$E58,#REF!,$F58,#REF!,"лично")</f>
        <v>#REF!</v>
      </c>
    </row>
    <row r="59" spans="1:50" ht="12" customHeight="1">
      <c r="A59" s="94">
        <f t="shared" si="6"/>
        <v>39</v>
      </c>
      <c r="B59" s="257" t="s">
        <v>29</v>
      </c>
      <c r="C59" s="255" t="s">
        <v>162</v>
      </c>
      <c r="D59" s="95" t="s">
        <v>433</v>
      </c>
      <c r="E59" s="1052"/>
      <c r="F59" s="285" t="str">
        <f t="shared" si="0"/>
        <v>Сокращенное название</v>
      </c>
      <c r="G59" s="259" t="s">
        <v>326</v>
      </c>
      <c r="H59" s="469" t="str">
        <f t="shared" si="5"/>
        <v>Фамилия_1 Имя Отчество</v>
      </c>
      <c r="I59" s="260">
        <f t="shared" si="7"/>
        <v>0</v>
      </c>
      <c r="J59" s="201">
        <f t="shared" si="4"/>
        <v>0</v>
      </c>
      <c r="K59" s="261"/>
      <c r="L59" s="262"/>
      <c r="M59" s="262"/>
      <c r="N59" s="263"/>
      <c r="O59" s="264"/>
      <c r="P59" s="262"/>
      <c r="Q59" s="262"/>
      <c r="R59" s="262"/>
      <c r="S59" s="262"/>
      <c r="T59" s="262"/>
      <c r="U59" s="262"/>
      <c r="V59" s="262"/>
      <c r="W59" s="262"/>
      <c r="X59" s="262"/>
      <c r="Y59" s="262"/>
      <c r="Z59" s="263"/>
      <c r="AA59" s="195"/>
      <c r="AB59" s="195"/>
      <c r="AC59" s="65"/>
      <c r="AD59" s="186"/>
      <c r="AE59" s="261"/>
      <c r="AF59" s="264"/>
      <c r="AG59" s="262"/>
      <c r="AH59" s="268"/>
      <c r="AI59" s="186"/>
      <c r="AJ59" s="65"/>
      <c r="AK59" s="840"/>
      <c r="AL59" s="197"/>
      <c r="AM59" s="261"/>
      <c r="AN59" s="188"/>
      <c r="AO59" s="261"/>
      <c r="AP59" s="188"/>
      <c r="AQ59" s="261"/>
      <c r="AR59" s="188"/>
      <c r="AS59" s="261"/>
      <c r="AT59" s="188"/>
      <c r="AU59" s="56"/>
      <c r="AV59" s="10" t="e">
        <f>SUMIFS(#REF!,#REF!,$C59,#REF!,$E59,#REF!,$F59)</f>
        <v>#REF!</v>
      </c>
      <c r="AW59" s="29" t="e">
        <f>COUNTIFS(#REF!,$C59,#REF!,$E59,#REF!,$F59,#REF!,"&gt;=0")</f>
        <v>#REF!</v>
      </c>
      <c r="AX59" s="10" t="e">
        <f>COUNTIFS(#REF!,$C59,#REF!,$E59,#REF!,$F59,#REF!,"лично")</f>
        <v>#REF!</v>
      </c>
    </row>
    <row r="60" spans="1:50" ht="12" customHeight="1">
      <c r="A60" s="94">
        <f t="shared" si="6"/>
        <v>40</v>
      </c>
      <c r="B60" s="257" t="s">
        <v>29</v>
      </c>
      <c r="C60" s="255" t="s">
        <v>162</v>
      </c>
      <c r="D60" s="95" t="s">
        <v>433</v>
      </c>
      <c r="E60" s="1052"/>
      <c r="F60" s="285" t="str">
        <f t="shared" si="0"/>
        <v>Сокращенное название</v>
      </c>
      <c r="G60" s="259" t="s">
        <v>326</v>
      </c>
      <c r="H60" s="469" t="str">
        <f t="shared" si="5"/>
        <v>Фамилия_1 Имя Отчество</v>
      </c>
      <c r="I60" s="260">
        <f t="shared" si="7"/>
        <v>0</v>
      </c>
      <c r="J60" s="201">
        <f t="shared" si="4"/>
        <v>0</v>
      </c>
      <c r="K60" s="261"/>
      <c r="L60" s="262"/>
      <c r="M60" s="262"/>
      <c r="N60" s="263"/>
      <c r="O60" s="264"/>
      <c r="P60" s="262"/>
      <c r="Q60" s="262"/>
      <c r="R60" s="262"/>
      <c r="S60" s="262"/>
      <c r="T60" s="262"/>
      <c r="U60" s="262"/>
      <c r="V60" s="262"/>
      <c r="W60" s="262"/>
      <c r="X60" s="262"/>
      <c r="Y60" s="262"/>
      <c r="Z60" s="263"/>
      <c r="AA60" s="195"/>
      <c r="AB60" s="195"/>
      <c r="AC60" s="65"/>
      <c r="AD60" s="186"/>
      <c r="AE60" s="261"/>
      <c r="AF60" s="264"/>
      <c r="AG60" s="262"/>
      <c r="AH60" s="268"/>
      <c r="AI60" s="186"/>
      <c r="AJ60" s="65"/>
      <c r="AK60" s="840"/>
      <c r="AL60" s="197"/>
      <c r="AM60" s="261"/>
      <c r="AN60" s="188"/>
      <c r="AO60" s="261"/>
      <c r="AP60" s="188"/>
      <c r="AQ60" s="261"/>
      <c r="AR60" s="188"/>
      <c r="AS60" s="261"/>
      <c r="AT60" s="188"/>
      <c r="AU60" s="56"/>
      <c r="AV60" s="10" t="e">
        <f>SUMIFS(#REF!,#REF!,$C60,#REF!,$E60,#REF!,$F60)</f>
        <v>#REF!</v>
      </c>
      <c r="AW60" s="29" t="e">
        <f>COUNTIFS(#REF!,$C60,#REF!,$E60,#REF!,$F60,#REF!,"&gt;=0")</f>
        <v>#REF!</v>
      </c>
      <c r="AX60" s="10" t="e">
        <f>COUNTIFS(#REF!,$C60,#REF!,$E60,#REF!,$F60,#REF!,"лично")</f>
        <v>#REF!</v>
      </c>
    </row>
    <row r="61" spans="1:50" ht="12" customHeight="1">
      <c r="A61" s="94">
        <f t="shared" si="6"/>
        <v>41</v>
      </c>
      <c r="B61" s="257" t="s">
        <v>29</v>
      </c>
      <c r="C61" s="255" t="s">
        <v>162</v>
      </c>
      <c r="D61" s="95" t="s">
        <v>433</v>
      </c>
      <c r="E61" s="1052"/>
      <c r="F61" s="285" t="str">
        <f t="shared" si="0"/>
        <v>Сокращенное название</v>
      </c>
      <c r="G61" s="259" t="s">
        <v>326</v>
      </c>
      <c r="H61" s="469" t="str">
        <f t="shared" si="5"/>
        <v>Фамилия_1 Имя Отчество</v>
      </c>
      <c r="I61" s="260">
        <f t="shared" si="7"/>
        <v>0</v>
      </c>
      <c r="J61" s="201">
        <f t="shared" si="4"/>
        <v>0</v>
      </c>
      <c r="K61" s="261"/>
      <c r="L61" s="262"/>
      <c r="M61" s="262"/>
      <c r="N61" s="263"/>
      <c r="O61" s="264"/>
      <c r="P61" s="262"/>
      <c r="Q61" s="262"/>
      <c r="R61" s="262"/>
      <c r="S61" s="262"/>
      <c r="T61" s="262"/>
      <c r="U61" s="262"/>
      <c r="V61" s="262"/>
      <c r="W61" s="262"/>
      <c r="X61" s="262"/>
      <c r="Y61" s="262"/>
      <c r="Z61" s="263"/>
      <c r="AA61" s="195"/>
      <c r="AB61" s="195"/>
      <c r="AC61" s="65"/>
      <c r="AD61" s="186"/>
      <c r="AE61" s="261"/>
      <c r="AF61" s="264"/>
      <c r="AG61" s="262"/>
      <c r="AH61" s="268"/>
      <c r="AI61" s="186"/>
      <c r="AJ61" s="65"/>
      <c r="AK61" s="840"/>
      <c r="AL61" s="197"/>
      <c r="AM61" s="261"/>
      <c r="AN61" s="188"/>
      <c r="AO61" s="261"/>
      <c r="AP61" s="188"/>
      <c r="AQ61" s="261"/>
      <c r="AR61" s="188"/>
      <c r="AS61" s="261"/>
      <c r="AT61" s="188"/>
      <c r="AU61" s="56"/>
      <c r="AV61" s="10" t="e">
        <f>SUMIFS(#REF!,#REF!,$C61,#REF!,$E61,#REF!,$F61)</f>
        <v>#REF!</v>
      </c>
      <c r="AW61" s="29" t="e">
        <f>COUNTIFS(#REF!,$C61,#REF!,$E61,#REF!,$F61,#REF!,"&gt;=0")</f>
        <v>#REF!</v>
      </c>
      <c r="AX61" s="10" t="e">
        <f>COUNTIFS(#REF!,$C61,#REF!,$E61,#REF!,$F61,#REF!,"лично")</f>
        <v>#REF!</v>
      </c>
    </row>
    <row r="62" spans="1:50" ht="12" customHeight="1">
      <c r="A62" s="94">
        <f t="shared" si="6"/>
        <v>42</v>
      </c>
      <c r="B62" s="257" t="s">
        <v>29</v>
      </c>
      <c r="C62" s="255" t="s">
        <v>162</v>
      </c>
      <c r="D62" s="95" t="s">
        <v>433</v>
      </c>
      <c r="E62" s="1052"/>
      <c r="F62" s="285" t="str">
        <f t="shared" si="0"/>
        <v>Сокращенное название</v>
      </c>
      <c r="G62" s="259" t="s">
        <v>326</v>
      </c>
      <c r="H62" s="469" t="str">
        <f t="shared" si="5"/>
        <v>Фамилия_1 Имя Отчество</v>
      </c>
      <c r="I62" s="260">
        <f t="shared" si="7"/>
        <v>0</v>
      </c>
      <c r="J62" s="201">
        <f t="shared" si="4"/>
        <v>0</v>
      </c>
      <c r="K62" s="261"/>
      <c r="L62" s="262"/>
      <c r="M62" s="262"/>
      <c r="N62" s="263"/>
      <c r="O62" s="264"/>
      <c r="P62" s="262"/>
      <c r="Q62" s="262"/>
      <c r="R62" s="262"/>
      <c r="S62" s="262"/>
      <c r="T62" s="262"/>
      <c r="U62" s="262"/>
      <c r="V62" s="262"/>
      <c r="W62" s="262"/>
      <c r="X62" s="262"/>
      <c r="Y62" s="262"/>
      <c r="Z62" s="263"/>
      <c r="AA62" s="195"/>
      <c r="AB62" s="195"/>
      <c r="AC62" s="65"/>
      <c r="AD62" s="186"/>
      <c r="AE62" s="261"/>
      <c r="AF62" s="264"/>
      <c r="AG62" s="262"/>
      <c r="AH62" s="268"/>
      <c r="AI62" s="186"/>
      <c r="AJ62" s="65"/>
      <c r="AK62" s="840"/>
      <c r="AL62" s="197"/>
      <c r="AM62" s="261"/>
      <c r="AN62" s="188"/>
      <c r="AO62" s="261"/>
      <c r="AP62" s="188"/>
      <c r="AQ62" s="261"/>
      <c r="AR62" s="188"/>
      <c r="AS62" s="261"/>
      <c r="AT62" s="188"/>
      <c r="AU62" s="56"/>
      <c r="AV62" s="10" t="e">
        <f>SUMIFS(#REF!,#REF!,$C62,#REF!,$E62,#REF!,$F62)</f>
        <v>#REF!</v>
      </c>
      <c r="AW62" s="29" t="e">
        <f>COUNTIFS(#REF!,$C62,#REF!,$E62,#REF!,$F62,#REF!,"&gt;=0")</f>
        <v>#REF!</v>
      </c>
      <c r="AX62" s="10" t="e">
        <f>COUNTIFS(#REF!,$C62,#REF!,$E62,#REF!,$F62,#REF!,"лично")</f>
        <v>#REF!</v>
      </c>
    </row>
    <row r="63" spans="1:50" ht="12" customHeight="1">
      <c r="A63" s="94">
        <f t="shared" si="6"/>
        <v>43</v>
      </c>
      <c r="B63" s="257" t="s">
        <v>29</v>
      </c>
      <c r="C63" s="255" t="s">
        <v>162</v>
      </c>
      <c r="D63" s="95" t="s">
        <v>433</v>
      </c>
      <c r="E63" s="1052"/>
      <c r="F63" s="285" t="str">
        <f t="shared" si="0"/>
        <v>Сокращенное название</v>
      </c>
      <c r="G63" s="259" t="s">
        <v>326</v>
      </c>
      <c r="H63" s="469" t="str">
        <f t="shared" si="5"/>
        <v>Фамилия_1 Имя Отчество</v>
      </c>
      <c r="I63" s="260">
        <f t="shared" si="7"/>
        <v>0</v>
      </c>
      <c r="J63" s="201">
        <f t="shared" si="4"/>
        <v>0</v>
      </c>
      <c r="K63" s="261"/>
      <c r="L63" s="262"/>
      <c r="M63" s="262"/>
      <c r="N63" s="263"/>
      <c r="O63" s="264"/>
      <c r="P63" s="262"/>
      <c r="Q63" s="262"/>
      <c r="R63" s="262"/>
      <c r="S63" s="262"/>
      <c r="T63" s="262"/>
      <c r="U63" s="262"/>
      <c r="V63" s="262"/>
      <c r="W63" s="262"/>
      <c r="X63" s="262"/>
      <c r="Y63" s="262"/>
      <c r="Z63" s="263"/>
      <c r="AA63" s="195"/>
      <c r="AB63" s="195"/>
      <c r="AC63" s="65"/>
      <c r="AD63" s="186"/>
      <c r="AE63" s="261"/>
      <c r="AF63" s="264"/>
      <c r="AG63" s="262"/>
      <c r="AH63" s="268"/>
      <c r="AI63" s="186"/>
      <c r="AJ63" s="65"/>
      <c r="AK63" s="840"/>
      <c r="AL63" s="197"/>
      <c r="AM63" s="261"/>
      <c r="AN63" s="188"/>
      <c r="AO63" s="261"/>
      <c r="AP63" s="188"/>
      <c r="AQ63" s="261"/>
      <c r="AR63" s="188"/>
      <c r="AS63" s="261"/>
      <c r="AT63" s="188"/>
      <c r="AU63" s="56"/>
      <c r="AV63" s="10" t="e">
        <f>SUMIFS(#REF!,#REF!,$C63,#REF!,$E63,#REF!,$F63)</f>
        <v>#REF!</v>
      </c>
      <c r="AW63" s="29" t="e">
        <f>COUNTIFS(#REF!,$C63,#REF!,$E63,#REF!,$F63,#REF!,"&gt;=0")</f>
        <v>#REF!</v>
      </c>
      <c r="AX63" s="10" t="e">
        <f>COUNTIFS(#REF!,$C63,#REF!,$E63,#REF!,$F63,#REF!,"лично")</f>
        <v>#REF!</v>
      </c>
    </row>
    <row r="64" spans="1:50" ht="12" customHeight="1">
      <c r="A64" s="94">
        <f t="shared" si="6"/>
        <v>44</v>
      </c>
      <c r="B64" s="257" t="s">
        <v>29</v>
      </c>
      <c r="C64" s="255" t="s">
        <v>162</v>
      </c>
      <c r="D64" s="95" t="s">
        <v>433</v>
      </c>
      <c r="E64" s="1052"/>
      <c r="F64" s="285" t="str">
        <f t="shared" si="0"/>
        <v>Сокращенное название</v>
      </c>
      <c r="G64" s="259" t="s">
        <v>326</v>
      </c>
      <c r="H64" s="469" t="str">
        <f t="shared" si="5"/>
        <v>Фамилия_1 Имя Отчество</v>
      </c>
      <c r="I64" s="260">
        <f t="shared" si="7"/>
        <v>0</v>
      </c>
      <c r="J64" s="201">
        <f t="shared" si="4"/>
        <v>0</v>
      </c>
      <c r="K64" s="261"/>
      <c r="L64" s="262"/>
      <c r="M64" s="262"/>
      <c r="N64" s="263"/>
      <c r="O64" s="264"/>
      <c r="P64" s="262"/>
      <c r="Q64" s="262"/>
      <c r="R64" s="262"/>
      <c r="S64" s="262"/>
      <c r="T64" s="262"/>
      <c r="U64" s="262"/>
      <c r="V64" s="262"/>
      <c r="W64" s="262"/>
      <c r="X64" s="262"/>
      <c r="Y64" s="262"/>
      <c r="Z64" s="263"/>
      <c r="AA64" s="195"/>
      <c r="AB64" s="195"/>
      <c r="AC64" s="65"/>
      <c r="AD64" s="186"/>
      <c r="AE64" s="261"/>
      <c r="AF64" s="264"/>
      <c r="AG64" s="262"/>
      <c r="AH64" s="268"/>
      <c r="AI64" s="186"/>
      <c r="AJ64" s="65"/>
      <c r="AK64" s="840"/>
      <c r="AL64" s="197"/>
      <c r="AM64" s="261"/>
      <c r="AN64" s="188"/>
      <c r="AO64" s="261"/>
      <c r="AP64" s="188"/>
      <c r="AQ64" s="261"/>
      <c r="AR64" s="188"/>
      <c r="AS64" s="261"/>
      <c r="AT64" s="188"/>
      <c r="AU64" s="56"/>
      <c r="AV64" s="10" t="e">
        <f>SUMIFS(#REF!,#REF!,$C64,#REF!,$E64,#REF!,$F64)</f>
        <v>#REF!</v>
      </c>
      <c r="AW64" s="29" t="e">
        <f>COUNTIFS(#REF!,$C64,#REF!,$E64,#REF!,$F64,#REF!,"&gt;=0")</f>
        <v>#REF!</v>
      </c>
      <c r="AX64" s="10" t="e">
        <f>COUNTIFS(#REF!,$C64,#REF!,$E64,#REF!,$F64,#REF!,"лично")</f>
        <v>#REF!</v>
      </c>
    </row>
    <row r="65" spans="1:50" ht="12" customHeight="1">
      <c r="A65" s="94">
        <f t="shared" si="6"/>
        <v>45</v>
      </c>
      <c r="B65" s="66" t="s">
        <v>10</v>
      </c>
      <c r="C65" s="255" t="s">
        <v>162</v>
      </c>
      <c r="D65" s="95" t="s">
        <v>433</v>
      </c>
      <c r="E65" s="1052"/>
      <c r="F65" s="285" t="str">
        <f t="shared" si="0"/>
        <v>Сокращенное название</v>
      </c>
      <c r="G65" s="259" t="s">
        <v>326</v>
      </c>
      <c r="H65" s="469" t="str">
        <f t="shared" si="5"/>
        <v>Фамилия_1 Имя Отчество</v>
      </c>
      <c r="I65" s="260">
        <f t="shared" si="7"/>
        <v>0</v>
      </c>
      <c r="J65" s="201">
        <f t="shared" si="4"/>
        <v>0</v>
      </c>
      <c r="K65" s="261"/>
      <c r="L65" s="262"/>
      <c r="M65" s="262"/>
      <c r="N65" s="263"/>
      <c r="O65" s="264"/>
      <c r="P65" s="262"/>
      <c r="Q65" s="262"/>
      <c r="R65" s="262"/>
      <c r="S65" s="262"/>
      <c r="T65" s="262"/>
      <c r="U65" s="262"/>
      <c r="V65" s="262"/>
      <c r="W65" s="262"/>
      <c r="X65" s="262"/>
      <c r="Y65" s="262"/>
      <c r="Z65" s="263"/>
      <c r="AA65" s="195"/>
      <c r="AB65" s="195"/>
      <c r="AC65" s="65"/>
      <c r="AD65" s="186"/>
      <c r="AE65" s="261"/>
      <c r="AF65" s="264"/>
      <c r="AG65" s="262"/>
      <c r="AH65" s="268"/>
      <c r="AI65" s="186"/>
      <c r="AJ65" s="65"/>
      <c r="AK65" s="840"/>
      <c r="AL65" s="197"/>
      <c r="AM65" s="261"/>
      <c r="AN65" s="188"/>
      <c r="AO65" s="261"/>
      <c r="AP65" s="188"/>
      <c r="AQ65" s="261"/>
      <c r="AR65" s="188"/>
      <c r="AS65" s="261"/>
      <c r="AT65" s="188"/>
      <c r="AU65" s="56"/>
      <c r="AV65" s="10" t="e">
        <f>SUMIFS(#REF!,#REF!,$C65,#REF!,$E65,#REF!,$F65)</f>
        <v>#REF!</v>
      </c>
      <c r="AW65" s="29" t="e">
        <f>COUNTIFS(#REF!,$C65,#REF!,$E65,#REF!,$F65,#REF!,"&gt;=0")</f>
        <v>#REF!</v>
      </c>
      <c r="AX65" s="10" t="e">
        <f>COUNTIFS(#REF!,$C65,#REF!,$E65,#REF!,$F65,#REF!,"лично")</f>
        <v>#REF!</v>
      </c>
    </row>
    <row r="66" spans="1:50" ht="12" customHeight="1">
      <c r="A66" s="94">
        <f t="shared" si="6"/>
        <v>46</v>
      </c>
      <c r="B66" s="66" t="s">
        <v>11</v>
      </c>
      <c r="C66" s="255" t="s">
        <v>162</v>
      </c>
      <c r="D66" s="95" t="s">
        <v>433</v>
      </c>
      <c r="E66" s="1052"/>
      <c r="F66" s="285" t="str">
        <f t="shared" si="0"/>
        <v>Сокращенное название</v>
      </c>
      <c r="G66" s="259" t="s">
        <v>326</v>
      </c>
      <c r="H66" s="469" t="str">
        <f t="shared" si="5"/>
        <v>Фамилия_1 Имя Отчество</v>
      </c>
      <c r="I66" s="260">
        <f t="shared" si="7"/>
        <v>0</v>
      </c>
      <c r="J66" s="201">
        <f t="shared" si="4"/>
        <v>0</v>
      </c>
      <c r="K66" s="261"/>
      <c r="L66" s="262"/>
      <c r="M66" s="262"/>
      <c r="N66" s="263"/>
      <c r="O66" s="264"/>
      <c r="P66" s="262"/>
      <c r="Q66" s="262"/>
      <c r="R66" s="262"/>
      <c r="S66" s="262"/>
      <c r="T66" s="262"/>
      <c r="U66" s="262"/>
      <c r="V66" s="262"/>
      <c r="W66" s="262"/>
      <c r="X66" s="262"/>
      <c r="Y66" s="262"/>
      <c r="Z66" s="263"/>
      <c r="AA66" s="195"/>
      <c r="AB66" s="195"/>
      <c r="AC66" s="65"/>
      <c r="AD66" s="186"/>
      <c r="AE66" s="261"/>
      <c r="AF66" s="264"/>
      <c r="AG66" s="262"/>
      <c r="AH66" s="268"/>
      <c r="AI66" s="186"/>
      <c r="AJ66" s="65"/>
      <c r="AK66" s="840"/>
      <c r="AL66" s="197"/>
      <c r="AM66" s="261"/>
      <c r="AN66" s="188"/>
      <c r="AO66" s="261"/>
      <c r="AP66" s="188"/>
      <c r="AQ66" s="261"/>
      <c r="AR66" s="188"/>
      <c r="AS66" s="261"/>
      <c r="AT66" s="188"/>
      <c r="AU66" s="56"/>
      <c r="AV66" s="10" t="e">
        <f>SUMIFS(#REF!,#REF!,$C66,#REF!,$E66,#REF!,$F66)</f>
        <v>#REF!</v>
      </c>
      <c r="AW66" s="29" t="e">
        <f>COUNTIFS(#REF!,$C66,#REF!,$E66,#REF!,$F66,#REF!,"&gt;=0")</f>
        <v>#REF!</v>
      </c>
      <c r="AX66" s="10" t="e">
        <f>COUNTIFS(#REF!,$C66,#REF!,$E66,#REF!,$F66,#REF!,"лично")</f>
        <v>#REF!</v>
      </c>
    </row>
    <row r="67" spans="1:50" ht="12" customHeight="1">
      <c r="A67" s="94">
        <f t="shared" si="6"/>
        <v>47</v>
      </c>
      <c r="B67" s="66" t="s">
        <v>35</v>
      </c>
      <c r="C67" s="255" t="s">
        <v>162</v>
      </c>
      <c r="D67" s="95" t="s">
        <v>433</v>
      </c>
      <c r="E67" s="1052"/>
      <c r="F67" s="285" t="str">
        <f t="shared" si="0"/>
        <v>Сокращенное название</v>
      </c>
      <c r="G67" s="259" t="s">
        <v>326</v>
      </c>
      <c r="H67" s="469" t="str">
        <f t="shared" si="5"/>
        <v>Фамилия_1 Имя Отчество</v>
      </c>
      <c r="I67" s="260">
        <f t="shared" si="7"/>
        <v>0</v>
      </c>
      <c r="J67" s="201">
        <f t="shared" si="4"/>
        <v>0</v>
      </c>
      <c r="K67" s="261"/>
      <c r="L67" s="262"/>
      <c r="M67" s="262"/>
      <c r="N67" s="263"/>
      <c r="O67" s="264"/>
      <c r="P67" s="262"/>
      <c r="Q67" s="262"/>
      <c r="R67" s="262"/>
      <c r="S67" s="262"/>
      <c r="T67" s="262"/>
      <c r="U67" s="262"/>
      <c r="V67" s="262"/>
      <c r="W67" s="262"/>
      <c r="X67" s="262"/>
      <c r="Y67" s="262"/>
      <c r="Z67" s="263"/>
      <c r="AA67" s="195"/>
      <c r="AB67" s="195"/>
      <c r="AC67" s="65"/>
      <c r="AD67" s="186"/>
      <c r="AE67" s="261"/>
      <c r="AF67" s="264"/>
      <c r="AG67" s="262"/>
      <c r="AH67" s="268"/>
      <c r="AI67" s="186"/>
      <c r="AJ67" s="65"/>
      <c r="AK67" s="840"/>
      <c r="AL67" s="197"/>
      <c r="AM67" s="261"/>
      <c r="AN67" s="188"/>
      <c r="AO67" s="261"/>
      <c r="AP67" s="188"/>
      <c r="AQ67" s="261"/>
      <c r="AR67" s="188"/>
      <c r="AS67" s="261"/>
      <c r="AT67" s="188"/>
      <c r="AU67" s="56"/>
      <c r="AV67" s="10" t="e">
        <f>SUMIFS(#REF!,#REF!,$C67,#REF!,$E67,#REF!,$F67)</f>
        <v>#REF!</v>
      </c>
      <c r="AW67" s="29" t="e">
        <f>COUNTIFS(#REF!,$C67,#REF!,$E67,#REF!,$F67,#REF!,"&gt;=0")</f>
        <v>#REF!</v>
      </c>
      <c r="AX67" s="10" t="e">
        <f>COUNTIFS(#REF!,$C67,#REF!,$E67,#REF!,$F67,#REF!,"лично")</f>
        <v>#REF!</v>
      </c>
    </row>
    <row r="68" spans="1:50" ht="12" customHeight="1">
      <c r="A68" s="94">
        <f t="shared" si="6"/>
        <v>48</v>
      </c>
      <c r="B68" s="257" t="s">
        <v>14</v>
      </c>
      <c r="C68" s="255" t="s">
        <v>162</v>
      </c>
      <c r="D68" s="95" t="s">
        <v>433</v>
      </c>
      <c r="E68" s="1052"/>
      <c r="F68" s="285" t="str">
        <f t="shared" si="0"/>
        <v>Сокращенное название</v>
      </c>
      <c r="G68" s="259" t="s">
        <v>326</v>
      </c>
      <c r="H68" s="469" t="str">
        <f t="shared" si="5"/>
        <v>Фамилия_1 Имя Отчество</v>
      </c>
      <c r="I68" s="260">
        <f t="shared" si="7"/>
        <v>0</v>
      </c>
      <c r="J68" s="201">
        <f t="shared" si="4"/>
        <v>0</v>
      </c>
      <c r="K68" s="261"/>
      <c r="L68" s="262"/>
      <c r="M68" s="262"/>
      <c r="N68" s="263"/>
      <c r="O68" s="264"/>
      <c r="P68" s="262"/>
      <c r="Q68" s="262"/>
      <c r="R68" s="262"/>
      <c r="S68" s="262"/>
      <c r="T68" s="262"/>
      <c r="U68" s="262"/>
      <c r="V68" s="262"/>
      <c r="W68" s="262"/>
      <c r="X68" s="262"/>
      <c r="Y68" s="262"/>
      <c r="Z68" s="263"/>
      <c r="AA68" s="195"/>
      <c r="AB68" s="195"/>
      <c r="AC68" s="65"/>
      <c r="AD68" s="186"/>
      <c r="AE68" s="261"/>
      <c r="AF68" s="264"/>
      <c r="AG68" s="262"/>
      <c r="AH68" s="268"/>
      <c r="AI68" s="186"/>
      <c r="AJ68" s="65"/>
      <c r="AK68" s="840"/>
      <c r="AL68" s="197"/>
      <c r="AM68" s="261"/>
      <c r="AN68" s="188"/>
      <c r="AO68" s="261"/>
      <c r="AP68" s="188"/>
      <c r="AQ68" s="261"/>
      <c r="AR68" s="188"/>
      <c r="AS68" s="261"/>
      <c r="AT68" s="188"/>
      <c r="AU68" s="56"/>
      <c r="AV68" s="10" t="e">
        <f>SUMIFS(#REF!,#REF!,$C68,#REF!,$E68,#REF!,$F68)</f>
        <v>#REF!</v>
      </c>
      <c r="AW68" s="29" t="e">
        <f>COUNTIFS(#REF!,$C68,#REF!,$E68,#REF!,$F68,#REF!,"&gt;=0")</f>
        <v>#REF!</v>
      </c>
      <c r="AX68" s="10" t="e">
        <f>COUNTIFS(#REF!,$C68,#REF!,$E68,#REF!,$F68,#REF!,"лично")</f>
        <v>#REF!</v>
      </c>
    </row>
    <row r="69" spans="1:50" ht="12" customHeight="1">
      <c r="A69" s="94">
        <f t="shared" si="6"/>
        <v>49</v>
      </c>
      <c r="B69" s="66" t="s">
        <v>35</v>
      </c>
      <c r="C69" s="255" t="s">
        <v>162</v>
      </c>
      <c r="D69" s="95" t="s">
        <v>433</v>
      </c>
      <c r="E69" s="1052"/>
      <c r="F69" s="285" t="str">
        <f t="shared" si="0"/>
        <v>Сокращенное название</v>
      </c>
      <c r="G69" s="259" t="s">
        <v>326</v>
      </c>
      <c r="H69" s="469" t="str">
        <f t="shared" si="5"/>
        <v>Фамилия_1 Имя Отчество</v>
      </c>
      <c r="I69" s="260">
        <f t="shared" si="7"/>
        <v>0</v>
      </c>
      <c r="J69" s="201">
        <f t="shared" si="4"/>
        <v>0</v>
      </c>
      <c r="K69" s="261"/>
      <c r="L69" s="262"/>
      <c r="M69" s="262"/>
      <c r="N69" s="263"/>
      <c r="O69" s="264"/>
      <c r="P69" s="262"/>
      <c r="Q69" s="262"/>
      <c r="R69" s="262"/>
      <c r="S69" s="262"/>
      <c r="T69" s="262"/>
      <c r="U69" s="262"/>
      <c r="V69" s="262"/>
      <c r="W69" s="262"/>
      <c r="X69" s="262"/>
      <c r="Y69" s="262"/>
      <c r="Z69" s="263"/>
      <c r="AA69" s="195"/>
      <c r="AB69" s="195"/>
      <c r="AC69" s="65"/>
      <c r="AD69" s="186"/>
      <c r="AE69" s="261"/>
      <c r="AF69" s="264"/>
      <c r="AG69" s="262"/>
      <c r="AH69" s="268"/>
      <c r="AI69" s="186"/>
      <c r="AJ69" s="65"/>
      <c r="AK69" s="840"/>
      <c r="AL69" s="197"/>
      <c r="AM69" s="261"/>
      <c r="AN69" s="188"/>
      <c r="AO69" s="261"/>
      <c r="AP69" s="188"/>
      <c r="AQ69" s="261"/>
      <c r="AR69" s="188"/>
      <c r="AS69" s="261"/>
      <c r="AT69" s="188"/>
      <c r="AU69" s="56"/>
      <c r="AV69" s="10" t="e">
        <f>SUMIFS(#REF!,#REF!,$C69,#REF!,$E69,#REF!,$F69)</f>
        <v>#REF!</v>
      </c>
      <c r="AW69" s="29" t="e">
        <f>COUNTIFS(#REF!,$C69,#REF!,$E69,#REF!,$F69,#REF!,"&gt;=0")</f>
        <v>#REF!</v>
      </c>
      <c r="AX69" s="10" t="e">
        <f>COUNTIFS(#REF!,$C69,#REF!,$E69,#REF!,$F69,#REF!,"лично")</f>
        <v>#REF!</v>
      </c>
    </row>
    <row r="70" spans="1:50" ht="12.75" customHeight="1" thickBot="1">
      <c r="A70" s="96">
        <f t="shared" si="6"/>
        <v>50</v>
      </c>
      <c r="B70" s="99" t="s">
        <v>10</v>
      </c>
      <c r="C70" s="269" t="s">
        <v>162</v>
      </c>
      <c r="D70" s="97" t="s">
        <v>433</v>
      </c>
      <c r="E70" s="1054"/>
      <c r="F70" s="286" t="str">
        <f t="shared" si="0"/>
        <v>Сокращенное название</v>
      </c>
      <c r="G70" s="272" t="s">
        <v>326</v>
      </c>
      <c r="H70" s="470" t="str">
        <f t="shared" si="5"/>
        <v>Фамилия_1 Имя Отчество</v>
      </c>
      <c r="I70" s="273">
        <f t="shared" si="7"/>
        <v>0</v>
      </c>
      <c r="J70" s="201">
        <f t="shared" si="4"/>
        <v>0</v>
      </c>
      <c r="K70" s="274"/>
      <c r="L70" s="275"/>
      <c r="M70" s="275"/>
      <c r="N70" s="276"/>
      <c r="O70" s="277"/>
      <c r="P70" s="275"/>
      <c r="Q70" s="275"/>
      <c r="R70" s="275"/>
      <c r="S70" s="275"/>
      <c r="T70" s="275"/>
      <c r="U70" s="275"/>
      <c r="V70" s="275"/>
      <c r="W70" s="275"/>
      <c r="X70" s="275"/>
      <c r="Y70" s="275"/>
      <c r="Z70" s="276"/>
      <c r="AA70" s="196"/>
      <c r="AB70" s="196"/>
      <c r="AC70" s="67"/>
      <c r="AD70" s="187"/>
      <c r="AE70" s="274"/>
      <c r="AF70" s="277"/>
      <c r="AG70" s="275"/>
      <c r="AH70" s="280"/>
      <c r="AI70" s="187"/>
      <c r="AJ70" s="67"/>
      <c r="AK70" s="841"/>
      <c r="AL70" s="198"/>
      <c r="AM70" s="274"/>
      <c r="AN70" s="189"/>
      <c r="AO70" s="274"/>
      <c r="AP70" s="189"/>
      <c r="AQ70" s="274"/>
      <c r="AR70" s="189"/>
      <c r="AS70" s="274"/>
      <c r="AT70" s="189"/>
      <c r="AU70" s="56"/>
      <c r="AV70" s="10" t="e">
        <f>SUMIFS(#REF!,#REF!,$C70,#REF!,$E70,#REF!,$F70)</f>
        <v>#REF!</v>
      </c>
      <c r="AW70" s="29" t="e">
        <f>COUNTIFS(#REF!,$C70,#REF!,$E70,#REF!,$F70,#REF!,"&gt;=0")</f>
        <v>#REF!</v>
      </c>
      <c r="AX70" s="10" t="e">
        <f>COUNTIFS(#REF!,$C70,#REF!,$E70,#REF!,$F70,#REF!,"лично")</f>
        <v>#REF!</v>
      </c>
    </row>
    <row r="71" spans="1:50" ht="10.5" customHeight="1">
      <c r="A71" s="1"/>
      <c r="B71" s="287"/>
      <c r="C71" s="14"/>
      <c r="D71" s="288"/>
      <c r="E71" s="288"/>
      <c r="F71" s="288"/>
      <c r="G71" s="101" t="s">
        <v>110</v>
      </c>
      <c r="H71" s="101" t="s">
        <v>118</v>
      </c>
      <c r="I71" s="327">
        <f>SUMIF(G21:G70,"Ж",I21:I70)</f>
        <v>0</v>
      </c>
      <c r="J71" s="327">
        <f>SUMIF(G21:G70,"Ж",J21:J70)</f>
        <v>0</v>
      </c>
      <c r="K71" s="102"/>
      <c r="L71" s="102"/>
      <c r="M71" s="102"/>
      <c r="N71" s="102"/>
      <c r="O71" s="103"/>
      <c r="P71" s="103"/>
      <c r="Q71" s="103"/>
      <c r="R71" s="103"/>
      <c r="S71" s="90"/>
      <c r="T71" s="90"/>
      <c r="U71" s="90"/>
      <c r="V71" s="90"/>
      <c r="W71" s="102"/>
      <c r="X71" s="102"/>
      <c r="Y71" s="102"/>
      <c r="Z71" s="102"/>
      <c r="AA71" s="102"/>
      <c r="AB71" s="102"/>
      <c r="AC71" s="289"/>
      <c r="AD71" s="289"/>
      <c r="AE71" s="102"/>
      <c r="AF71" s="102"/>
      <c r="AG71" s="102"/>
      <c r="AH71" s="102"/>
      <c r="AI71" s="102"/>
      <c r="AJ71" s="102"/>
      <c r="AK71" s="102"/>
      <c r="AL71" s="102"/>
      <c r="AM71" s="90"/>
      <c r="AN71" s="182"/>
      <c r="AO71" s="90"/>
      <c r="AP71" s="182"/>
      <c r="AQ71" s="90"/>
      <c r="AV71" s="4" t="e">
        <f>SUM(AV21:AV70)</f>
        <v>#REF!</v>
      </c>
      <c r="AW71" s="4" t="e">
        <f>SUM(AW21:AW70)</f>
        <v>#REF!</v>
      </c>
      <c r="AX71" s="4" t="e">
        <f>SUM(AX21:AX70)</f>
        <v>#REF!</v>
      </c>
    </row>
    <row r="72" spans="1:50" ht="10.5" customHeight="1">
      <c r="A72" s="1"/>
      <c r="B72" s="287"/>
      <c r="C72" s="14"/>
      <c r="D72" s="288"/>
      <c r="E72" s="288"/>
      <c r="F72" s="288"/>
      <c r="G72" s="101"/>
      <c r="H72" s="101" t="s">
        <v>117</v>
      </c>
      <c r="I72" s="126">
        <f>SUMIF(G21:G70,"М",I21:I70)</f>
        <v>0</v>
      </c>
      <c r="J72" s="126">
        <f>SUMIF(G21:G70,"М",J21:J70)</f>
        <v>0</v>
      </c>
      <c r="K72" s="102"/>
      <c r="L72" s="102"/>
      <c r="M72" s="102"/>
      <c r="N72" s="102"/>
      <c r="O72" s="103"/>
      <c r="P72" s="103"/>
      <c r="Q72" s="103"/>
      <c r="R72" s="103"/>
      <c r="S72" s="90"/>
      <c r="T72" s="90"/>
      <c r="U72" s="90"/>
      <c r="V72" s="90"/>
      <c r="W72" s="102"/>
      <c r="X72" s="102"/>
      <c r="Y72" s="102"/>
      <c r="Z72" s="102"/>
      <c r="AA72" s="102"/>
      <c r="AB72" s="102"/>
      <c r="AC72" s="289"/>
      <c r="AD72" s="289"/>
      <c r="AE72" s="102"/>
      <c r="AF72" s="102"/>
      <c r="AG72" s="102"/>
      <c r="AH72" s="102"/>
      <c r="AI72" s="102"/>
      <c r="AJ72" s="102"/>
      <c r="AK72" s="102"/>
      <c r="AL72" s="102"/>
      <c r="AM72" s="90"/>
      <c r="AN72" s="182"/>
      <c r="AO72" s="90"/>
      <c r="AP72" s="182"/>
      <c r="AQ72" s="90"/>
      <c r="AV72" s="4"/>
      <c r="AW72" s="4"/>
      <c r="AX72" s="4"/>
    </row>
    <row r="73" spans="1:50" ht="12.75" customHeight="1">
      <c r="A73" s="77"/>
      <c r="B73" s="25"/>
      <c r="C73" s="12"/>
      <c r="D73" s="26"/>
      <c r="E73" s="18"/>
      <c r="F73" s="290"/>
      <c r="G73" s="192"/>
      <c r="H73" s="101" t="s">
        <v>231</v>
      </c>
      <c r="I73" s="203">
        <f>COUNTIFS(I21:I70,"&gt;0",G21:G70,"Ж")</f>
        <v>0</v>
      </c>
      <c r="J73" s="10"/>
      <c r="K73" s="291"/>
      <c r="L73" s="291"/>
      <c r="M73" s="291"/>
      <c r="N73" s="291"/>
      <c r="O73" s="291"/>
      <c r="P73" s="291"/>
      <c r="Q73" s="291"/>
      <c r="R73" s="291"/>
      <c r="S73" s="291"/>
      <c r="T73" s="291"/>
      <c r="U73" s="291"/>
      <c r="V73" s="291"/>
      <c r="W73" s="291"/>
      <c r="X73" s="291"/>
      <c r="Y73" s="291"/>
      <c r="Z73" s="291"/>
      <c r="AA73" s="54"/>
      <c r="AB73" s="54"/>
      <c r="AC73" s="54"/>
      <c r="AD73" s="54"/>
      <c r="AE73" s="291"/>
      <c r="AF73" s="291"/>
      <c r="AG73" s="291"/>
      <c r="AH73" s="291"/>
      <c r="AI73" s="291"/>
      <c r="AJ73" s="291"/>
      <c r="AK73" s="54"/>
      <c r="AL73" s="54"/>
      <c r="AM73" s="291"/>
      <c r="AN73" s="55"/>
      <c r="AO73" s="56"/>
      <c r="AP73" s="10"/>
      <c r="AQ73" s="29"/>
      <c r="AR73" s="10"/>
      <c r="AT73" s="12"/>
    </row>
    <row r="74" spans="1:50" ht="12.75" customHeight="1">
      <c r="A74" s="77"/>
      <c r="B74" s="25"/>
      <c r="C74" s="12"/>
      <c r="D74" s="26"/>
      <c r="E74" s="18"/>
      <c r="F74" s="290"/>
      <c r="G74" s="192"/>
      <c r="H74" s="101" t="s">
        <v>232</v>
      </c>
      <c r="I74" s="203">
        <f>COUNTIFS(I21:I70,"&gt;0",G21:G70,"М")</f>
        <v>0</v>
      </c>
      <c r="J74" s="10"/>
      <c r="K74" s="291"/>
      <c r="L74" s="291"/>
      <c r="M74" s="291"/>
      <c r="N74" s="291"/>
      <c r="O74" s="291"/>
      <c r="P74" s="291"/>
      <c r="Q74" s="291"/>
      <c r="R74" s="291"/>
      <c r="S74" s="291"/>
      <c r="T74" s="291"/>
      <c r="U74" s="291"/>
      <c r="V74" s="291"/>
      <c r="W74" s="291"/>
      <c r="X74" s="291"/>
      <c r="Y74" s="291"/>
      <c r="Z74" s="291"/>
      <c r="AA74" s="54"/>
      <c r="AB74" s="54"/>
      <c r="AC74" s="54"/>
      <c r="AD74" s="54"/>
      <c r="AE74" s="291"/>
      <c r="AF74" s="291"/>
      <c r="AG74" s="291"/>
      <c r="AH74" s="291"/>
      <c r="AI74" s="291"/>
      <c r="AJ74" s="291"/>
      <c r="AK74" s="54"/>
      <c r="AL74" s="54"/>
      <c r="AM74" s="291"/>
      <c r="AN74" s="55"/>
      <c r="AO74" s="56"/>
      <c r="AP74" s="10"/>
      <c r="AQ74" s="29"/>
      <c r="AR74" s="10"/>
      <c r="AT74" s="12"/>
    </row>
    <row r="75" spans="1:50" ht="10.5" customHeight="1">
      <c r="A75" s="1"/>
      <c r="B75" s="287"/>
      <c r="C75" s="14"/>
      <c r="D75" s="288"/>
      <c r="E75" s="288"/>
      <c r="F75" s="288"/>
      <c r="G75" s="101"/>
      <c r="H75" s="101"/>
      <c r="I75" s="101"/>
      <c r="J75" s="127"/>
      <c r="K75" s="127"/>
      <c r="L75" s="102"/>
      <c r="M75" s="102"/>
      <c r="N75" s="102"/>
      <c r="O75" s="102"/>
      <c r="P75" s="103"/>
      <c r="Q75" s="103"/>
      <c r="R75" s="103"/>
      <c r="S75" s="103"/>
      <c r="T75" s="90"/>
      <c r="U75" s="90"/>
      <c r="V75" s="90"/>
      <c r="W75" s="90"/>
      <c r="X75" s="102"/>
      <c r="Y75" s="102"/>
      <c r="Z75" s="102"/>
      <c r="AA75" s="102"/>
      <c r="AB75" s="102"/>
      <c r="AC75" s="102"/>
      <c r="AD75" s="289"/>
      <c r="AE75" s="289"/>
      <c r="AF75" s="102"/>
      <c r="AG75" s="102"/>
      <c r="AH75" s="102"/>
      <c r="AI75" s="102"/>
      <c r="AJ75" s="102"/>
      <c r="AK75" s="102"/>
      <c r="AL75" s="102"/>
      <c r="AM75" s="182"/>
      <c r="AN75" s="90"/>
      <c r="AO75" s="182"/>
      <c r="AP75" s="90"/>
      <c r="AQ75" s="182"/>
      <c r="AR75" s="90"/>
      <c r="AS75" s="4"/>
      <c r="AT75" s="4"/>
      <c r="AU75" s="4"/>
    </row>
    <row r="76" spans="1:50" ht="12.75" customHeight="1">
      <c r="A76" s="517" t="s">
        <v>111</v>
      </c>
      <c r="B76" s="2"/>
      <c r="C76" s="2"/>
      <c r="E76" s="518" t="s">
        <v>222</v>
      </c>
      <c r="G76" s="2"/>
      <c r="H76" s="2"/>
      <c r="I76" s="2"/>
      <c r="J76" s="2"/>
      <c r="K76" s="2"/>
      <c r="L76" s="125"/>
      <c r="M76" s="60"/>
      <c r="N76" s="60"/>
      <c r="O76" s="60"/>
      <c r="P76" s="58"/>
      <c r="Q76" s="58"/>
      <c r="R76" s="58"/>
      <c r="S76" s="58"/>
      <c r="T76" s="59"/>
      <c r="U76" s="59"/>
      <c r="V76" s="59"/>
      <c r="W76" s="59"/>
      <c r="X76" s="60"/>
      <c r="Y76" s="60"/>
      <c r="Z76" s="60"/>
      <c r="AA76" s="60"/>
      <c r="AB76" s="60"/>
      <c r="AC76" s="60"/>
      <c r="AD76" s="60"/>
      <c r="AE76" s="102"/>
      <c r="AF76" s="102"/>
      <c r="AG76" s="102"/>
      <c r="AH76" s="102"/>
      <c r="AI76" s="102"/>
      <c r="AJ76" s="102"/>
      <c r="AK76" s="102"/>
      <c r="AL76" s="102"/>
      <c r="AM76" s="182"/>
      <c r="AN76" s="90"/>
      <c r="AO76" s="182"/>
      <c r="AP76" s="90"/>
      <c r="AQ76" s="182"/>
      <c r="AR76" s="59"/>
      <c r="AS76" s="3"/>
      <c r="AT76" s="3"/>
      <c r="AU76" s="3"/>
    </row>
    <row r="77" spans="1:50" ht="12.75" customHeight="1">
      <c r="A77" s="517" t="s">
        <v>111</v>
      </c>
      <c r="B77" s="2"/>
      <c r="C77" s="2"/>
      <c r="E77" s="518" t="s">
        <v>223</v>
      </c>
      <c r="G77" s="2"/>
      <c r="H77" s="2"/>
      <c r="I77" s="2"/>
      <c r="J77" s="2"/>
      <c r="K77" s="2"/>
      <c r="L77" s="60"/>
      <c r="M77" s="60"/>
      <c r="N77" s="60"/>
      <c r="O77" s="60"/>
      <c r="P77" s="58"/>
      <c r="Q77" s="58"/>
      <c r="R77" s="58"/>
      <c r="S77" s="58"/>
      <c r="T77" s="59"/>
      <c r="U77" s="59"/>
      <c r="V77" s="59"/>
      <c r="W77" s="59"/>
      <c r="X77" s="60"/>
      <c r="Y77" s="60"/>
      <c r="Z77" s="60"/>
      <c r="AA77" s="60"/>
      <c r="AB77" s="60"/>
      <c r="AC77" s="60"/>
      <c r="AD77" s="60"/>
      <c r="AE77" s="102"/>
      <c r="AF77" s="102"/>
      <c r="AG77" s="102"/>
      <c r="AH77" s="102"/>
      <c r="AI77" s="102"/>
      <c r="AJ77" s="102"/>
      <c r="AK77" s="102"/>
      <c r="AL77" s="102"/>
      <c r="AM77" s="182"/>
      <c r="AN77" s="90"/>
      <c r="AO77" s="182"/>
      <c r="AP77" s="90"/>
      <c r="AQ77" s="182"/>
      <c r="AR77" s="59"/>
      <c r="AS77" s="3"/>
      <c r="AT77" s="3"/>
      <c r="AU77" s="3"/>
    </row>
    <row r="78" spans="1:50" ht="12.75" customHeight="1">
      <c r="A78" s="517" t="s">
        <v>111</v>
      </c>
      <c r="B78" s="2"/>
      <c r="C78" s="2"/>
      <c r="E78" s="518" t="s">
        <v>224</v>
      </c>
      <c r="G78" s="2"/>
      <c r="H78" s="2"/>
      <c r="I78" s="2"/>
      <c r="J78" s="2"/>
      <c r="K78" s="2"/>
      <c r="L78" s="60"/>
      <c r="M78" s="60"/>
      <c r="N78" s="60"/>
      <c r="O78" s="60"/>
      <c r="P78" s="58"/>
      <c r="Q78" s="58"/>
      <c r="R78" s="58"/>
      <c r="S78" s="58"/>
      <c r="T78" s="59"/>
      <c r="U78" s="59"/>
      <c r="V78" s="59"/>
      <c r="W78" s="59"/>
      <c r="X78" s="60"/>
      <c r="Y78" s="60"/>
      <c r="Z78" s="60"/>
      <c r="AA78" s="60"/>
      <c r="AB78" s="60"/>
      <c r="AC78" s="60"/>
      <c r="AD78" s="60"/>
      <c r="AE78" s="102"/>
      <c r="AF78" s="102"/>
      <c r="AG78" s="102"/>
      <c r="AH78" s="102"/>
      <c r="AI78" s="102"/>
      <c r="AJ78" s="102"/>
      <c r="AK78" s="102"/>
      <c r="AL78" s="102"/>
      <c r="AM78" s="182"/>
      <c r="AN78" s="90"/>
      <c r="AO78" s="182"/>
      <c r="AP78" s="90"/>
      <c r="AQ78" s="182"/>
      <c r="AR78" s="59"/>
      <c r="AS78" s="3"/>
      <c r="AT78" s="3"/>
      <c r="AU78" s="3"/>
    </row>
    <row r="79" spans="1:50" ht="12.75" customHeight="1">
      <c r="A79" s="13"/>
      <c r="B79" s="2"/>
      <c r="C79" s="2"/>
      <c r="D79" s="104"/>
      <c r="E79" s="4"/>
      <c r="F79" s="4"/>
      <c r="G79" s="2"/>
      <c r="H79" s="2"/>
      <c r="I79" s="2"/>
      <c r="J79" s="2"/>
      <c r="K79" s="2"/>
      <c r="L79" s="60"/>
      <c r="M79" s="60"/>
      <c r="N79" s="60"/>
      <c r="O79" s="60"/>
      <c r="P79" s="58"/>
      <c r="Q79" s="58"/>
      <c r="R79" s="58"/>
      <c r="S79" s="58"/>
      <c r="T79" s="59"/>
      <c r="U79" s="59"/>
      <c r="V79" s="59"/>
      <c r="W79" s="59"/>
      <c r="X79" s="60"/>
      <c r="Y79" s="60"/>
      <c r="Z79" s="60"/>
      <c r="AA79" s="60"/>
      <c r="AB79" s="60"/>
      <c r="AC79" s="60"/>
      <c r="AD79" s="60"/>
      <c r="AE79" s="102"/>
      <c r="AF79" s="102"/>
      <c r="AG79" s="102"/>
      <c r="AH79" s="102"/>
      <c r="AI79" s="102"/>
      <c r="AJ79" s="102"/>
      <c r="AK79" s="102"/>
      <c r="AL79" s="102"/>
      <c r="AM79" s="182"/>
      <c r="AN79" s="90"/>
      <c r="AO79" s="182"/>
      <c r="AP79" s="90"/>
      <c r="AQ79" s="182"/>
      <c r="AR79" s="59"/>
      <c r="AS79" s="3"/>
      <c r="AT79" s="3"/>
      <c r="AU79" s="3"/>
    </row>
    <row r="80" spans="1:50" ht="12.75" customHeight="1">
      <c r="A80" s="13"/>
      <c r="B80" s="2"/>
      <c r="C80" s="2"/>
      <c r="D80" s="104"/>
      <c r="E80" s="4"/>
      <c r="F80" s="4"/>
      <c r="G80" s="2"/>
      <c r="H80" s="2"/>
      <c r="I80" s="2"/>
      <c r="J80" s="2"/>
      <c r="K80" s="2"/>
      <c r="L80" s="60"/>
      <c r="M80" s="60"/>
      <c r="N80" s="60"/>
      <c r="O80" s="60"/>
      <c r="P80" s="58"/>
      <c r="Q80" s="58"/>
      <c r="R80" s="58"/>
      <c r="S80" s="58"/>
      <c r="T80" s="59"/>
      <c r="U80" s="59"/>
      <c r="V80" s="59"/>
      <c r="W80" s="59"/>
      <c r="X80" s="60"/>
      <c r="Y80" s="60"/>
      <c r="Z80" s="60"/>
      <c r="AA80" s="60"/>
      <c r="AB80" s="60"/>
      <c r="AC80" s="60"/>
      <c r="AD80" s="60"/>
      <c r="AE80" s="102"/>
      <c r="AF80" s="102"/>
      <c r="AG80" s="102"/>
      <c r="AH80" s="102"/>
      <c r="AI80" s="102"/>
      <c r="AJ80" s="102"/>
      <c r="AK80" s="102"/>
      <c r="AL80" s="102"/>
      <c r="AM80" s="182"/>
      <c r="AN80" s="90"/>
      <c r="AO80" s="182"/>
      <c r="AP80" s="90"/>
      <c r="AQ80" s="182"/>
      <c r="AR80" s="59"/>
      <c r="AS80" s="3"/>
      <c r="AT80" s="3"/>
      <c r="AU80" s="3"/>
    </row>
    <row r="81" spans="1:67" ht="15.75" customHeight="1">
      <c r="A81" s="105"/>
      <c r="B81" s="484" t="s">
        <v>112</v>
      </c>
      <c r="C81" s="34"/>
      <c r="D81" s="106"/>
      <c r="E81" s="165"/>
      <c r="F81" s="165"/>
      <c r="G81" s="34"/>
      <c r="H81" s="34"/>
      <c r="I81" s="34"/>
      <c r="J81" s="34"/>
      <c r="K81" s="34"/>
      <c r="L81" s="107"/>
      <c r="M81" s="107"/>
      <c r="N81" s="107"/>
      <c r="O81" s="107"/>
      <c r="P81" s="108"/>
      <c r="Q81" s="108"/>
      <c r="R81" s="108"/>
      <c r="S81" s="108"/>
      <c r="T81" s="109"/>
      <c r="U81" s="109"/>
      <c r="V81" s="109"/>
      <c r="W81" s="109"/>
      <c r="X81" s="107"/>
      <c r="Y81" s="107"/>
      <c r="Z81" s="107"/>
      <c r="AA81" s="107"/>
      <c r="AB81" s="107"/>
      <c r="AC81" s="107"/>
      <c r="AD81" s="107"/>
      <c r="AE81" s="183"/>
      <c r="AF81" s="183"/>
      <c r="AG81" s="183"/>
      <c r="AH81" s="183"/>
      <c r="AI81" s="183"/>
      <c r="AJ81" s="183"/>
      <c r="AK81" s="183"/>
      <c r="AL81" s="183"/>
      <c r="AM81" s="182"/>
      <c r="AN81" s="184"/>
      <c r="AO81" s="182"/>
      <c r="AP81" s="184"/>
      <c r="AQ81" s="182"/>
      <c r="AR81" s="35"/>
    </row>
    <row r="82" spans="1:67" ht="18">
      <c r="A82" s="105"/>
      <c r="B82" s="171" t="s">
        <v>233</v>
      </c>
      <c r="C82" s="34"/>
      <c r="D82" s="106"/>
      <c r="E82" s="165"/>
      <c r="F82" s="165"/>
      <c r="G82" s="34"/>
      <c r="H82" s="34"/>
      <c r="I82" s="34"/>
      <c r="J82" s="34"/>
      <c r="K82" s="34"/>
      <c r="L82" s="107"/>
      <c r="M82" s="108"/>
      <c r="N82" s="108"/>
      <c r="O82" s="109"/>
      <c r="P82" s="109"/>
      <c r="Q82" s="183"/>
      <c r="R82" s="183"/>
      <c r="S82" s="183"/>
      <c r="T82" s="184"/>
      <c r="U82" s="182"/>
      <c r="V82" s="109"/>
      <c r="W82" s="35"/>
      <c r="X82" s="35"/>
      <c r="Y82" s="35"/>
    </row>
    <row r="83" spans="1:67" s="292" customFormat="1" ht="18.75">
      <c r="A83" s="490"/>
      <c r="B83" s="488" t="s">
        <v>262</v>
      </c>
      <c r="C83" s="488"/>
      <c r="D83" s="487"/>
      <c r="E83" s="491"/>
      <c r="F83" s="491"/>
      <c r="G83" s="488"/>
      <c r="H83" s="488"/>
      <c r="I83" s="488"/>
      <c r="J83" s="488"/>
      <c r="K83" s="488"/>
      <c r="L83" s="492"/>
      <c r="M83" s="492"/>
      <c r="N83" s="492"/>
      <c r="O83" s="492"/>
      <c r="P83" s="493"/>
      <c r="Q83" s="493"/>
      <c r="R83" s="493"/>
      <c r="S83" s="493"/>
      <c r="T83" s="494"/>
      <c r="U83" s="494"/>
      <c r="V83" s="494"/>
      <c r="W83" s="494"/>
      <c r="X83" s="492"/>
      <c r="Y83" s="492"/>
      <c r="Z83" s="492"/>
      <c r="AA83" s="492"/>
      <c r="AB83" s="492"/>
      <c r="AC83" s="492"/>
      <c r="AD83" s="492"/>
      <c r="AE83" s="492"/>
      <c r="AF83" s="495"/>
      <c r="AG83" s="495"/>
      <c r="AH83" s="495"/>
      <c r="AI83" s="495"/>
      <c r="AJ83" s="495"/>
      <c r="AK83" s="495"/>
      <c r="AL83" s="495"/>
      <c r="AM83" s="496"/>
      <c r="AN83" s="497"/>
      <c r="AO83" s="496"/>
      <c r="AP83" s="497"/>
      <c r="AQ83" s="494"/>
      <c r="AR83" s="498"/>
      <c r="AS83" s="498"/>
      <c r="AT83" s="498"/>
    </row>
    <row r="84" spans="1:67" ht="18">
      <c r="A84" s="13"/>
      <c r="B84" s="485" t="s">
        <v>113</v>
      </c>
      <c r="C84" s="2"/>
      <c r="D84" s="104"/>
      <c r="E84" s="4"/>
      <c r="F84" s="4"/>
      <c r="G84" s="2"/>
      <c r="H84" s="2"/>
      <c r="I84" s="2"/>
      <c r="J84" s="2"/>
      <c r="K84" s="2"/>
      <c r="L84" s="60"/>
      <c r="M84" s="58"/>
      <c r="N84" s="58"/>
      <c r="O84" s="59"/>
      <c r="P84" s="59"/>
      <c r="Q84" s="60"/>
      <c r="R84" s="60"/>
      <c r="S84" s="60"/>
      <c r="T84" s="59"/>
      <c r="U84" s="127"/>
      <c r="V84" s="59"/>
      <c r="W84" s="3"/>
      <c r="X84" s="3"/>
      <c r="Y84" s="3"/>
    </row>
    <row r="85" spans="1:67" ht="18">
      <c r="A85" s="13"/>
      <c r="B85" s="486" t="s">
        <v>234</v>
      </c>
      <c r="C85" s="2"/>
      <c r="D85" s="104"/>
      <c r="E85" s="4"/>
      <c r="F85" s="4"/>
      <c r="G85" s="2"/>
      <c r="H85" s="2"/>
      <c r="I85" s="2"/>
      <c r="J85" s="2"/>
      <c r="K85" s="2"/>
      <c r="L85" s="60"/>
      <c r="M85" s="58"/>
      <c r="N85" s="58"/>
      <c r="O85" s="59"/>
      <c r="P85" s="59"/>
      <c r="Q85" s="60"/>
      <c r="R85" s="60"/>
      <c r="S85" s="60"/>
      <c r="T85" s="59"/>
      <c r="U85" s="125"/>
      <c r="V85" s="59"/>
      <c r="W85" s="3"/>
      <c r="X85" s="3"/>
      <c r="Y85" s="3"/>
    </row>
    <row r="86" spans="1:67" s="292" customFormat="1" ht="26.25" customHeight="1">
      <c r="A86" s="174"/>
      <c r="B86" s="204" t="s">
        <v>361</v>
      </c>
      <c r="C86" s="174"/>
      <c r="D86" s="205"/>
      <c r="E86" s="175"/>
      <c r="F86" s="175"/>
      <c r="G86" s="174"/>
      <c r="H86" s="174"/>
      <c r="I86" s="174"/>
      <c r="J86" s="174"/>
      <c r="K86" s="174"/>
      <c r="L86" s="206"/>
      <c r="M86" s="207"/>
      <c r="N86" s="207"/>
      <c r="O86" s="208"/>
      <c r="P86" s="208"/>
      <c r="Q86" s="206"/>
      <c r="R86" s="206"/>
      <c r="S86" s="206"/>
      <c r="T86" s="208"/>
      <c r="U86" s="209"/>
      <c r="V86" s="208"/>
      <c r="W86" s="205"/>
      <c r="X86" s="205"/>
      <c r="Y86" s="205"/>
    </row>
    <row r="87" spans="1:67" s="292" customFormat="1" ht="64.5" customHeight="1">
      <c r="A87" s="174"/>
      <c r="B87" s="1708" t="s">
        <v>114</v>
      </c>
      <c r="C87" s="1708"/>
      <c r="D87" s="1708"/>
      <c r="E87" s="1708"/>
      <c r="F87" s="1708"/>
      <c r="G87" s="1708"/>
      <c r="H87" s="1708"/>
      <c r="I87" s="1708"/>
      <c r="J87" s="1708"/>
      <c r="K87" s="1708"/>
      <c r="L87" s="1708"/>
      <c r="M87" s="1708"/>
      <c r="N87" s="1708"/>
      <c r="O87" s="1708"/>
      <c r="P87" s="1708"/>
      <c r="Q87" s="1708"/>
      <c r="R87" s="1708"/>
      <c r="S87" s="1708"/>
      <c r="T87" s="1708"/>
      <c r="U87" s="1708"/>
      <c r="V87" s="1708"/>
      <c r="W87" s="1708"/>
      <c r="X87" s="1708"/>
      <c r="Y87" s="1708"/>
      <c r="Z87" s="1708"/>
      <c r="AA87" s="1708"/>
      <c r="AB87" s="1708"/>
      <c r="AC87" s="1708"/>
      <c r="AD87" s="1708"/>
      <c r="AE87" s="1708"/>
      <c r="AF87" s="1708"/>
      <c r="AG87" s="1708"/>
      <c r="AH87" s="1708"/>
      <c r="AI87" s="1708"/>
      <c r="AJ87" s="1708"/>
      <c r="AK87" s="1708"/>
      <c r="AL87" s="1708"/>
      <c r="AM87" s="1708"/>
      <c r="AN87" s="1708"/>
    </row>
    <row r="88" spans="1:67" s="292" customFormat="1" ht="18.75">
      <c r="A88" s="174"/>
      <c r="B88" s="1708" t="s">
        <v>115</v>
      </c>
      <c r="C88" s="1708"/>
      <c r="D88" s="1708"/>
      <c r="E88" s="1708"/>
      <c r="F88" s="1708"/>
      <c r="G88" s="1708"/>
      <c r="H88" s="1708"/>
      <c r="I88" s="1708"/>
      <c r="J88" s="1708"/>
      <c r="K88" s="1708"/>
      <c r="L88" s="1708"/>
      <c r="M88" s="1708"/>
      <c r="N88" s="1708"/>
      <c r="O88" s="1708"/>
      <c r="P88" s="1708"/>
      <c r="Q88" s="1708"/>
      <c r="R88" s="1708"/>
      <c r="S88" s="1708"/>
      <c r="T88" s="1708"/>
      <c r="U88" s="1708"/>
      <c r="V88" s="482"/>
      <c r="W88" s="205"/>
      <c r="X88" s="205"/>
      <c r="Y88" s="205"/>
    </row>
    <row r="89" spans="1:67" s="292" customFormat="1" ht="18.75">
      <c r="A89" s="174"/>
      <c r="B89" s="204" t="s">
        <v>116</v>
      </c>
      <c r="C89" s="482"/>
      <c r="D89" s="482"/>
      <c r="E89" s="482"/>
      <c r="F89" s="482"/>
      <c r="G89" s="482"/>
      <c r="H89" s="482"/>
      <c r="I89" s="482"/>
      <c r="J89" s="482"/>
      <c r="K89" s="482"/>
      <c r="L89" s="210"/>
      <c r="M89" s="210"/>
      <c r="N89" s="210"/>
      <c r="O89" s="210"/>
      <c r="P89" s="210"/>
      <c r="Q89" s="210"/>
      <c r="R89" s="210"/>
      <c r="S89" s="210"/>
      <c r="T89" s="210"/>
      <c r="U89" s="211"/>
      <c r="V89" s="210"/>
      <c r="W89" s="212"/>
      <c r="X89" s="212"/>
      <c r="Y89" s="212"/>
    </row>
    <row r="90" spans="1:67" s="292" customFormat="1" ht="42" customHeight="1">
      <c r="A90" s="211"/>
      <c r="B90" s="1708" t="s">
        <v>235</v>
      </c>
      <c r="C90" s="1708"/>
      <c r="D90" s="1708"/>
      <c r="E90" s="1708"/>
      <c r="F90" s="1708"/>
      <c r="G90" s="1708"/>
      <c r="H90" s="1708"/>
      <c r="I90" s="1708"/>
      <c r="J90" s="1708"/>
      <c r="K90" s="1708"/>
      <c r="L90" s="1708"/>
      <c r="M90" s="1708"/>
      <c r="N90" s="1708"/>
      <c r="O90" s="1708"/>
      <c r="P90" s="1708"/>
      <c r="Q90" s="1708"/>
      <c r="R90" s="1708"/>
      <c r="S90" s="1708"/>
      <c r="T90" s="1708"/>
      <c r="U90" s="1708"/>
      <c r="V90" s="1708"/>
      <c r="W90" s="1708"/>
      <c r="X90" s="1708"/>
      <c r="Y90" s="1708"/>
      <c r="Z90" s="1708"/>
      <c r="AA90" s="1708"/>
      <c r="AB90" s="1708"/>
      <c r="AC90" s="1708"/>
      <c r="AD90" s="1708"/>
      <c r="AE90" s="1708"/>
      <c r="AF90" s="1708"/>
      <c r="AG90" s="1708"/>
      <c r="AH90" s="1708"/>
      <c r="AI90" s="1708"/>
      <c r="AJ90" s="1708"/>
      <c r="AK90" s="1708"/>
      <c r="AL90" s="1708"/>
      <c r="AM90" s="1708"/>
      <c r="AN90" s="1708"/>
      <c r="AO90" s="1708"/>
      <c r="AT90" s="293"/>
      <c r="AU90" s="293"/>
      <c r="AV90" s="293"/>
      <c r="AW90" s="294"/>
      <c r="AX90" s="294"/>
      <c r="AY90" s="114"/>
      <c r="AZ90" s="214"/>
      <c r="BA90" s="214"/>
      <c r="BB90" s="215"/>
      <c r="BC90" s="216"/>
      <c r="BD90" s="117"/>
      <c r="BE90" s="117"/>
      <c r="BF90" s="117"/>
      <c r="BG90" s="216"/>
      <c r="BH90" s="295"/>
      <c r="BI90" s="295"/>
      <c r="BJ90" s="295"/>
      <c r="BK90" s="295"/>
      <c r="BL90" s="295"/>
      <c r="BM90" s="295"/>
      <c r="BN90" s="232"/>
      <c r="BO90" s="232"/>
    </row>
    <row r="91" spans="1:67" s="292" customFormat="1" ht="49.5" customHeight="1">
      <c r="A91" s="211"/>
      <c r="B91" s="1708" t="s">
        <v>362</v>
      </c>
      <c r="C91" s="1708"/>
      <c r="D91" s="1708"/>
      <c r="E91" s="1708"/>
      <c r="F91" s="1708"/>
      <c r="G91" s="1708"/>
      <c r="H91" s="1708"/>
      <c r="I91" s="1708"/>
      <c r="J91" s="1708"/>
      <c r="K91" s="1708"/>
      <c r="L91" s="1708"/>
      <c r="M91" s="1708"/>
      <c r="N91" s="1708"/>
      <c r="O91" s="1708"/>
      <c r="P91" s="1708"/>
      <c r="Q91" s="1708"/>
      <c r="R91" s="1708"/>
      <c r="S91" s="1708"/>
      <c r="T91" s="1708"/>
      <c r="U91" s="1708"/>
      <c r="V91" s="1708"/>
      <c r="W91" s="1708"/>
      <c r="X91" s="1708"/>
      <c r="Y91" s="1708"/>
      <c r="Z91" s="1708"/>
      <c r="AA91" s="1708"/>
      <c r="AB91" s="1708"/>
      <c r="AC91" s="1708"/>
      <c r="AD91" s="1708"/>
      <c r="AE91" s="1708"/>
      <c r="AF91" s="1708"/>
      <c r="AG91" s="1708"/>
      <c r="AH91" s="1708"/>
      <c r="AI91" s="1708"/>
      <c r="AJ91" s="1708"/>
      <c r="AK91" s="1708"/>
      <c r="AL91" s="1708"/>
      <c r="AM91" s="1708"/>
      <c r="AN91" s="1708"/>
      <c r="AO91" s="213"/>
    </row>
    <row r="92" spans="1:67" s="292" customFormat="1" ht="42.75" customHeight="1">
      <c r="A92" s="174"/>
      <c r="B92" s="1708" t="s">
        <v>363</v>
      </c>
      <c r="C92" s="1708"/>
      <c r="D92" s="1708"/>
      <c r="E92" s="1708"/>
      <c r="F92" s="1708"/>
      <c r="G92" s="1708"/>
      <c r="H92" s="1708"/>
      <c r="I92" s="1708"/>
      <c r="J92" s="1708"/>
      <c r="K92" s="1708"/>
      <c r="L92" s="1708"/>
      <c r="M92" s="1708"/>
      <c r="N92" s="1708"/>
      <c r="O92" s="1708"/>
      <c r="P92" s="1708"/>
      <c r="Q92" s="1708"/>
      <c r="R92" s="1708"/>
      <c r="S92" s="1708"/>
      <c r="T92" s="1708"/>
      <c r="U92" s="1708"/>
      <c r="V92" s="1708"/>
      <c r="W92" s="1708"/>
      <c r="X92" s="1708"/>
      <c r="Y92" s="1708"/>
      <c r="Z92" s="1708"/>
      <c r="AA92" s="1708"/>
      <c r="AB92" s="1708"/>
      <c r="AC92" s="1708"/>
      <c r="AD92" s="1708"/>
      <c r="AE92" s="1708"/>
      <c r="AF92" s="1708"/>
      <c r="AG92" s="1708"/>
      <c r="AH92" s="1708"/>
      <c r="AI92" s="1708"/>
      <c r="AJ92" s="1708"/>
      <c r="AK92" s="1708"/>
      <c r="AL92" s="1708"/>
      <c r="AM92" s="1708"/>
      <c r="AN92" s="1708"/>
    </row>
    <row r="93" spans="1:67" s="292" customFormat="1" ht="39" customHeight="1">
      <c r="A93" s="174"/>
      <c r="B93" s="1708" t="s">
        <v>364</v>
      </c>
      <c r="C93" s="1708"/>
      <c r="D93" s="1708"/>
      <c r="E93" s="1708"/>
      <c r="F93" s="1708"/>
      <c r="G93" s="1708"/>
      <c r="H93" s="1708"/>
      <c r="I93" s="1708"/>
      <c r="J93" s="1708"/>
      <c r="K93" s="1708"/>
      <c r="L93" s="1708"/>
      <c r="M93" s="1708"/>
      <c r="N93" s="1708"/>
      <c r="O93" s="1708"/>
      <c r="P93" s="1708"/>
      <c r="Q93" s="1708"/>
      <c r="R93" s="1708"/>
      <c r="S93" s="1708"/>
      <c r="T93" s="1708"/>
      <c r="U93" s="1708"/>
      <c r="V93" s="1708"/>
      <c r="W93" s="1708"/>
      <c r="X93" s="1708"/>
      <c r="Y93" s="1708"/>
      <c r="Z93" s="1708"/>
      <c r="AA93" s="1708"/>
      <c r="AB93" s="1708"/>
      <c r="AC93" s="1708"/>
      <c r="AD93" s="1708"/>
      <c r="AE93" s="1708"/>
      <c r="AF93" s="1708"/>
      <c r="AG93" s="1708"/>
      <c r="AH93" s="1708"/>
      <c r="AI93" s="1708"/>
      <c r="AJ93" s="1708"/>
      <c r="AK93" s="1708"/>
      <c r="AL93" s="1708"/>
      <c r="AM93" s="1708"/>
      <c r="AN93" s="1708"/>
    </row>
    <row r="94" spans="1:67" ht="18.75" customHeight="1">
      <c r="A94" s="110"/>
      <c r="B94" s="487" t="s">
        <v>365</v>
      </c>
      <c r="C94" s="111"/>
      <c r="D94" s="112"/>
      <c r="E94" s="113"/>
      <c r="F94" s="113"/>
      <c r="G94" s="111"/>
      <c r="H94" s="111"/>
      <c r="I94" s="111"/>
      <c r="J94" s="111"/>
      <c r="K94" s="111"/>
      <c r="L94" s="114"/>
      <c r="M94" s="115"/>
      <c r="N94" s="115"/>
      <c r="O94" s="116"/>
      <c r="P94" s="116"/>
      <c r="Q94" s="114"/>
      <c r="R94" s="114"/>
      <c r="S94" s="114"/>
      <c r="T94" s="116"/>
      <c r="U94" s="125"/>
      <c r="V94" s="116"/>
      <c r="W94" s="117"/>
      <c r="X94" s="117"/>
      <c r="Y94" s="117"/>
    </row>
    <row r="95" spans="1:67" ht="18.75" customHeight="1">
      <c r="A95" s="110"/>
      <c r="B95" s="488" t="s">
        <v>366</v>
      </c>
      <c r="C95" s="111"/>
      <c r="D95" s="112"/>
      <c r="E95" s="113"/>
      <c r="F95" s="113"/>
      <c r="G95" s="111"/>
      <c r="H95" s="111"/>
      <c r="I95" s="111"/>
      <c r="J95" s="111"/>
      <c r="K95" s="111"/>
      <c r="L95" s="114"/>
      <c r="M95" s="115"/>
      <c r="N95" s="115"/>
      <c r="O95" s="116"/>
      <c r="P95" s="116"/>
      <c r="Q95" s="114"/>
      <c r="R95" s="114"/>
      <c r="S95" s="114"/>
      <c r="T95" s="116"/>
      <c r="U95" s="34"/>
      <c r="V95" s="116"/>
      <c r="W95" s="117"/>
      <c r="X95" s="117"/>
      <c r="Y95" s="117"/>
    </row>
    <row r="96" spans="1:67" ht="18.75" customHeight="1">
      <c r="A96" s="110"/>
      <c r="B96" s="487" t="s">
        <v>236</v>
      </c>
      <c r="C96" s="111"/>
      <c r="D96" s="112"/>
      <c r="E96" s="113"/>
      <c r="F96" s="113"/>
      <c r="G96" s="111"/>
      <c r="H96" s="111"/>
      <c r="I96" s="111"/>
      <c r="J96" s="111"/>
      <c r="K96" s="111"/>
      <c r="L96" s="114"/>
      <c r="M96" s="115"/>
      <c r="N96" s="115"/>
      <c r="O96" s="116"/>
      <c r="P96" s="116"/>
      <c r="Q96" s="114"/>
      <c r="R96" s="114"/>
      <c r="S96" s="114"/>
      <c r="T96" s="116"/>
      <c r="U96" s="2"/>
      <c r="V96" s="116"/>
      <c r="W96" s="117"/>
      <c r="X96" s="117"/>
      <c r="Y96" s="117"/>
    </row>
    <row r="97" spans="1:43" ht="24.75" customHeight="1">
      <c r="A97" s="118">
        <v>4</v>
      </c>
      <c r="B97" s="487" t="s">
        <v>237</v>
      </c>
      <c r="C97" s="119"/>
      <c r="D97" s="118"/>
      <c r="E97" s="120"/>
      <c r="F97" s="120"/>
      <c r="G97" s="119"/>
      <c r="H97" s="119"/>
      <c r="I97" s="119"/>
      <c r="J97" s="119"/>
      <c r="K97" s="119"/>
      <c r="L97" s="121"/>
      <c r="M97" s="122"/>
      <c r="N97" s="122"/>
      <c r="O97" s="123"/>
      <c r="P97" s="123"/>
      <c r="Q97" s="121"/>
      <c r="R97" s="121"/>
      <c r="S97" s="121"/>
      <c r="T97" s="123"/>
      <c r="U97" s="34"/>
      <c r="V97" s="123"/>
      <c r="W97" s="118"/>
      <c r="X97" s="118"/>
      <c r="Y97" s="118"/>
    </row>
    <row r="98" spans="1:43" ht="12.75" customHeight="1">
      <c r="A98" s="13"/>
      <c r="B98" s="489" t="s">
        <v>238</v>
      </c>
      <c r="C98" s="111"/>
      <c r="D98" s="112"/>
      <c r="E98" s="113"/>
      <c r="F98" s="113"/>
      <c r="G98" s="111"/>
      <c r="H98" s="111"/>
      <c r="I98" s="111"/>
      <c r="J98" s="111"/>
      <c r="K98" s="111"/>
      <c r="L98" s="114"/>
      <c r="M98" s="293"/>
      <c r="N98" s="293"/>
      <c r="O98" s="293"/>
      <c r="P98" s="294"/>
      <c r="Q98" s="294"/>
      <c r="R98" s="114"/>
      <c r="S98" s="214"/>
      <c r="T98" s="214"/>
      <c r="U98" s="215"/>
      <c r="V98" s="216"/>
      <c r="W98" s="117"/>
      <c r="X98" s="117"/>
      <c r="Y98" s="117"/>
      <c r="Z98" s="216"/>
      <c r="AA98" s="295"/>
      <c r="AB98" s="295"/>
      <c r="AC98" s="295"/>
      <c r="AD98" s="295"/>
      <c r="AE98" s="295"/>
      <c r="AF98" s="295"/>
    </row>
    <row r="99" spans="1:43" ht="12.75" customHeight="1">
      <c r="A99" s="2"/>
      <c r="B99" s="483"/>
      <c r="C99" s="483"/>
      <c r="D99" s="483"/>
      <c r="E99" s="483"/>
      <c r="F99" s="483"/>
      <c r="G99" s="483"/>
      <c r="H99" s="483"/>
      <c r="I99" s="483"/>
      <c r="J99" s="483"/>
      <c r="K99" s="483"/>
      <c r="L99" s="217"/>
      <c r="M99" s="217"/>
      <c r="N99" s="217"/>
      <c r="O99" s="217"/>
      <c r="P99" s="217"/>
      <c r="Q99" s="217"/>
      <c r="R99" s="217"/>
      <c r="S99" s="217"/>
      <c r="T99" s="217"/>
      <c r="U99" s="218"/>
      <c r="V99" s="217"/>
      <c r="W99" s="117"/>
      <c r="X99" s="117"/>
      <c r="Y99" s="117"/>
      <c r="Z99" s="295"/>
      <c r="AA99" s="295"/>
      <c r="AB99" s="295"/>
      <c r="AC99" s="295"/>
      <c r="AD99" s="295"/>
      <c r="AE99" s="295"/>
      <c r="AF99" s="295"/>
    </row>
    <row r="100" spans="1:43" ht="46.5" customHeight="1">
      <c r="A100" s="2"/>
      <c r="B100" s="1708" t="s">
        <v>239</v>
      </c>
      <c r="C100" s="1708"/>
      <c r="D100" s="1708"/>
      <c r="E100" s="1708"/>
      <c r="F100" s="1708"/>
      <c r="G100" s="1708"/>
      <c r="H100" s="1708"/>
      <c r="I100" s="1708"/>
      <c r="J100" s="1708"/>
      <c r="K100" s="1708"/>
      <c r="L100" s="1708"/>
      <c r="M100" s="1708"/>
      <c r="N100" s="1708"/>
      <c r="O100" s="1708"/>
      <c r="P100" s="1708"/>
      <c r="Q100" s="1708"/>
      <c r="R100" s="1708"/>
      <c r="S100" s="1708"/>
      <c r="T100" s="1708"/>
      <c r="U100" s="1708"/>
      <c r="V100" s="1708"/>
      <c r="W100" s="1708"/>
      <c r="X100" s="1708"/>
      <c r="Y100" s="1708"/>
      <c r="Z100" s="1708"/>
      <c r="AA100" s="1708"/>
      <c r="AB100" s="1708"/>
      <c r="AC100" s="1708"/>
      <c r="AD100" s="1708"/>
      <c r="AE100" s="1708"/>
      <c r="AF100" s="1708"/>
      <c r="AG100" s="124"/>
      <c r="AH100" s="124"/>
      <c r="AI100" s="124"/>
      <c r="AJ100" s="124"/>
      <c r="AK100" s="124"/>
      <c r="AL100" s="124"/>
      <c r="AM100" s="119"/>
      <c r="AN100" s="124"/>
      <c r="AO100" s="119"/>
      <c r="AP100" s="124"/>
      <c r="AQ100" s="3"/>
    </row>
    <row r="101" spans="1:43">
      <c r="AM101" s="2"/>
      <c r="AO101" s="2"/>
      <c r="AQ101" s="2"/>
    </row>
    <row r="102" spans="1:43">
      <c r="AM102" s="2"/>
      <c r="AO102" s="2"/>
      <c r="AQ102" s="2"/>
    </row>
    <row r="103" spans="1:43">
      <c r="AM103" s="2"/>
      <c r="AO103" s="2"/>
      <c r="AQ103" s="2"/>
    </row>
    <row r="104" spans="1:43">
      <c r="AM104" s="2"/>
      <c r="AO104" s="2"/>
      <c r="AQ104" s="2"/>
    </row>
    <row r="105" spans="1:43">
      <c r="AM105" s="2"/>
      <c r="AO105" s="2"/>
      <c r="AQ105" s="2"/>
    </row>
    <row r="106" spans="1:43">
      <c r="AM106" s="125"/>
      <c r="AO106" s="125"/>
      <c r="AQ106" s="125"/>
    </row>
    <row r="107" spans="1:43">
      <c r="AM107" s="125"/>
      <c r="AO107" s="125"/>
      <c r="AQ107" s="125"/>
    </row>
  </sheetData>
  <mergeCells count="39">
    <mergeCell ref="AD10:AP13"/>
    <mergeCell ref="U10:AC11"/>
    <mergeCell ref="U12:AC13"/>
    <mergeCell ref="P10:T11"/>
    <mergeCell ref="P12:T13"/>
    <mergeCell ref="B4:AC5"/>
    <mergeCell ref="H10:O10"/>
    <mergeCell ref="B7:AC8"/>
    <mergeCell ref="I11:K11"/>
    <mergeCell ref="I12:K12"/>
    <mergeCell ref="I13:K13"/>
    <mergeCell ref="L11:M11"/>
    <mergeCell ref="L12:M12"/>
    <mergeCell ref="L13:M13"/>
    <mergeCell ref="N11:O11"/>
    <mergeCell ref="N12:O12"/>
    <mergeCell ref="N13:O13"/>
    <mergeCell ref="A14:AP14"/>
    <mergeCell ref="H19:H20"/>
    <mergeCell ref="C19:D20"/>
    <mergeCell ref="E19:E20"/>
    <mergeCell ref="B19:B20"/>
    <mergeCell ref="F19:F20"/>
    <mergeCell ref="G19:G20"/>
    <mergeCell ref="J19:J20"/>
    <mergeCell ref="O19:Z19"/>
    <mergeCell ref="K19:N19"/>
    <mergeCell ref="AE19:AL19"/>
    <mergeCell ref="AA19:AD19"/>
    <mergeCell ref="I19:I20"/>
    <mergeCell ref="A19:A20"/>
    <mergeCell ref="AM19:AT19"/>
    <mergeCell ref="B91:AN91"/>
    <mergeCell ref="B92:AN92"/>
    <mergeCell ref="B93:AN93"/>
    <mergeCell ref="B100:AF100"/>
    <mergeCell ref="B87:AN87"/>
    <mergeCell ref="B88:U88"/>
    <mergeCell ref="B90:AO90"/>
  </mergeCells>
  <conditionalFormatting sqref="AM21:AM70 AO21:AO70 AG21:AG70 AE21:AE70 AK21:AK70 K21:K70 M21:M70 O21:O70 Q21:Q70 S21:S70 U21:U70 W21:W70 AA21:AA70 AC21:AC70 Y21:Y70 AQ21:AQ70 AS21:AS70">
    <cfRule type="expression" dxfId="143" priority="43">
      <formula>IF(NOT(ISBLANK(K21)),IF(ISNUMBER(K21),IF(INT(K21/10000)&gt;23,TRUE,IF(INT(MOD(K21,10000)/100)&gt;59.99,TRUE,IF(MOD(K21,100)&gt;59.99,TRUE,FALSE))),TRUE))</formula>
    </cfRule>
  </conditionalFormatting>
  <conditionalFormatting sqref="AF73:AF74 AH73:AJ74 AL73:AL74 L73:L74 N73:N74 R73:R74 P73:P74 T73:T74 V73:V74 X73:X74 Z73:Z74 AB73:AB74 AD73:AD74 AH21:AH70 AF21:AF70 AL21:AL70 L21:L70 N21:N70 R21:R70 P21:P70 T21:T70 V21:V70 X21:X70 Z21:Z70 AB21:AB70 AD21:AD70">
    <cfRule type="expression" dxfId="142" priority="15">
      <formula>IF(L21="л","ЛОЖЬ",IF(L21="в","ЛОЖЬ",IF(ISBLANK(L21),"ЛОЖЬ",TRUE)))</formula>
    </cfRule>
    <cfRule type="expression" dxfId="141" priority="38">
      <formula>IF(L21="в",TRUE,)</formula>
    </cfRule>
    <cfRule type="expression" dxfId="140" priority="39">
      <formula>IF(L21="л",TRUE,)</formula>
    </cfRule>
  </conditionalFormatting>
  <conditionalFormatting sqref="M21:M70">
    <cfRule type="expression" dxfId="139" priority="25">
      <formula>IF(ISNUMBER(M21),IF(((YEAR(TODAY()))-14)&gt;=E21,FALSE,TRUE))</formula>
    </cfRule>
  </conditionalFormatting>
  <conditionalFormatting sqref="K21:K70">
    <cfRule type="expression" dxfId="138" priority="24">
      <formula>IF(ISNUMBER(K21),IF(((YEAR(TODAY()))-12)&gt;=E21,FALSE,TRUE))</formula>
    </cfRule>
  </conditionalFormatting>
  <conditionalFormatting sqref="Y21:Y70">
    <cfRule type="expression" dxfId="137" priority="23">
      <formula>IF(ISNUMBER(Y21),IF(((YEAR(TODAY()))-12)&gt;=E21,FALSE,TRUE))</formula>
    </cfRule>
  </conditionalFormatting>
  <conditionalFormatting sqref="AA21:AA70">
    <cfRule type="expression" dxfId="136" priority="21">
      <formula>IF(ISNUMBER(AA21),IF(((YEAR(TODAY()))-12)&gt;=E21,FALSE,TRUE))</formula>
    </cfRule>
  </conditionalFormatting>
  <conditionalFormatting sqref="AC21:AC70">
    <cfRule type="expression" dxfId="135" priority="20">
      <formula>IF(ISNUMBER(AC21),IF(((YEAR(TODAY()))-12)&gt;=E21,FALSE,TRUE))</formula>
    </cfRule>
  </conditionalFormatting>
  <conditionalFormatting sqref="AO21:AO70 AM21:AM70 AS21:AS70 AQ21:AQ70">
    <cfRule type="expression" dxfId="134" priority="14">
      <formula>IF(ISBLANK(AM21),FALSE,IF($I21=0,TRUE))</formula>
    </cfRule>
  </conditionalFormatting>
  <conditionalFormatting sqref="I21:I70">
    <cfRule type="expression" dxfId="133" priority="541">
      <formula>IF(I21&gt;$G$11,TRUE)</formula>
    </cfRule>
  </conditionalFormatting>
  <conditionalFormatting sqref="J21:J70">
    <cfRule type="expression" dxfId="132" priority="542">
      <formula>IF(J21&gt;($G$11+$G$12-I21),IF((J21+I21)&gt;($G$11+$G$12),TRUE,))</formula>
    </cfRule>
  </conditionalFormatting>
  <conditionalFormatting sqref="I74">
    <cfRule type="expression" dxfId="131" priority="543">
      <formula>IF($I$74&gt;$E$12,TRUE)</formula>
    </cfRule>
  </conditionalFormatting>
  <conditionalFormatting sqref="I73">
    <cfRule type="expression" dxfId="130" priority="544">
      <formula>IF($I$73&gt;$E$11,TRUE)</formula>
    </cfRule>
  </conditionalFormatting>
  <conditionalFormatting sqref="G21:G70">
    <cfRule type="expression" dxfId="129" priority="12">
      <formula>IF(G21="м",FALSE,IF(G21="ж",FALSE,TRUE))</formula>
    </cfRule>
  </conditionalFormatting>
  <conditionalFormatting sqref="AN21:AN70 AP21:AP70 AR21:AR70 AT21:AT70">
    <cfRule type="expression" dxfId="128" priority="11">
      <formula>IF(ISBLANK(AM21),IF(ISBLANK(AN21),FALSE,TRUE),IF(ISNUMBER(AN21),FALSE,TRUE))</formula>
    </cfRule>
  </conditionalFormatting>
  <conditionalFormatting sqref="B21:B70">
    <cfRule type="expression" dxfId="127" priority="556">
      <formula>IF($B21&lt;&gt;$H$11,IF($B21&lt;&gt;$H$12,IF($B21&lt;&gt;$H$13,IF($B21&lt;&gt;$I$11,IF(B21&lt;&gt;$I$12,IF($B21&lt;&gt;$I$13,IF($B21&lt;&gt;$L$11,IF($B21&lt;&gt;$L$12,IF($B21&lt;&gt;$L$13,IF($B21&lt;&gt;$N$11,IF($B21&lt;&gt;$N$12,TRUE)))))))))))</formula>
    </cfRule>
  </conditionalFormatting>
  <conditionalFormatting sqref="AJ21:AJ70">
    <cfRule type="expression" dxfId="126" priority="6">
      <formula>IF(AJ21="л","ЛОЖЬ",IF(AJ21="в","ЛОЖЬ",IF(ISBLANK(AJ21),"ЛОЖЬ",TRUE)))</formula>
    </cfRule>
    <cfRule type="expression" dxfId="125" priority="7">
      <formula>IF(AJ21="в",TRUE,)</formula>
    </cfRule>
    <cfRule type="expression" dxfId="124" priority="8">
      <formula>IF(AJ21="л",TRUE,)</formula>
    </cfRule>
  </conditionalFormatting>
  <conditionalFormatting sqref="AI21:AI70">
    <cfRule type="expression" dxfId="123" priority="9">
      <formula>IF(NOT(ISBLANK(AI21)),IF(ISNUMBER(AI21),IF(INT(AI21/10000)&gt;23,TRUE,IF(INT(MOD(AI21,10000)/100)&gt;59.99,TRUE,IF(MOD(AI21,100)&gt;59.99,TRUE,FALSE))),TRUE))</formula>
    </cfRule>
  </conditionalFormatting>
  <conditionalFormatting sqref="E21:E70">
    <cfRule type="expression" dxfId="122" priority="570">
      <formula>IF(ISBLANK(E21),FALSE,IF(IF(ISNUMBER($G$13),IF(YEAR(TODAY())-$G$13&lt;=E21,FALSE,TRUE),FALSE),TRUE,IF(ISNUMBER($E$13),IF(YEAR(TODAY())-$E$13&lt;E21,TRUE,FALSE),FALSE)))</formula>
    </cfRule>
  </conditionalFormatting>
  <conditionalFormatting sqref="AY21">
    <cfRule type="expression" dxfId="121" priority="635">
      <formula>IF(#REF!&lt;&gt;$H$11,IF(#REF!&lt;&gt;$H$12,IF(#REF!&lt;&gt;$H$13,IF(#REF!&lt;&gt;$I$11,IF(#REF!&lt;&gt;$I$12,IF(#REF!&lt;&gt;$I$13,IF(#REF!&lt;&gt;$L$11,IF(#REF!&lt;&gt;$L$12,IF(#REF!&lt;&gt;$L$13,IF(#REF!&lt;&gt;$N$78,IF(#REF!&lt;&gt;$N$79,TRUE)))))))))))</formula>
    </cfRule>
  </conditionalFormatting>
  <conditionalFormatting sqref="AY22:AY31">
    <cfRule type="expression" dxfId="120" priority="636">
      <formula>IF($B21&lt;&gt;$H$11,IF($B21&lt;&gt;$H$12,IF($B21&lt;&gt;$H$13,IF($B21&lt;&gt;$I$11,IF($B21&lt;&gt;$I$12,IF($B21&lt;&gt;$I$13,IF($B21&lt;&gt;$L$11,IF($B21&lt;&gt;$L$12,IF($B21&lt;&gt;$L$13,IF($B21&lt;&gt;$N$78,IF($B21&lt;&gt;$N$79,TRUE)))))))))))</formula>
    </cfRule>
  </conditionalFormatting>
  <pageMargins left="0.31496062992125984" right="0.31496062992125984" top="0.55118110236220474" bottom="0.31496062992125984" header="0" footer="0"/>
  <pageSetup paperSize="9" orientation="landscape" verticalDpi="1200" r:id="rId1"/>
  <headerFooter>
    <oddFooter>&amp;R&amp;"Times New Roman,курсив"&amp;8Стр. &amp;P из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Лист6">
    <tabColor rgb="FF00B050"/>
  </sheetPr>
  <dimension ref="A1:K76"/>
  <sheetViews>
    <sheetView topLeftCell="A7" workbookViewId="0">
      <selection activeCell="B15" sqref="B15:C15"/>
    </sheetView>
  </sheetViews>
  <sheetFormatPr defaultRowHeight="15"/>
  <cols>
    <col min="1" max="1" width="3.8984375" customWidth="1"/>
    <col min="2" max="3" width="12.375" customWidth="1"/>
    <col min="4" max="4" width="17.75390625" customWidth="1"/>
    <col min="5" max="5" width="13.85546875" customWidth="1"/>
    <col min="6" max="6" width="16.94921875" customWidth="1"/>
    <col min="7" max="7" width="9.953125" customWidth="1"/>
    <col min="8" max="8" width="11.02734375" customWidth="1"/>
    <col min="9" max="9" width="9.55078125" customWidth="1"/>
    <col min="10" max="10" width="9.953125" customWidth="1"/>
    <col min="11" max="11" width="23" customWidth="1"/>
    <col min="12" max="36" width="1.4765625" customWidth="1"/>
  </cols>
  <sheetData>
    <row r="1" spans="1:11">
      <c r="H1" s="1773" t="s">
        <v>351</v>
      </c>
      <c r="I1" s="1773"/>
      <c r="J1" s="1773"/>
      <c r="K1" s="1773"/>
    </row>
    <row r="2" spans="1:11" ht="21.75" customHeight="1">
      <c r="H2" s="1773"/>
      <c r="I2" s="1773"/>
      <c r="J2" s="1773"/>
      <c r="K2" s="1773"/>
    </row>
    <row r="3" spans="1:11" ht="31.5">
      <c r="A3" s="1774" t="s">
        <v>349</v>
      </c>
      <c r="B3" s="1774"/>
      <c r="C3" s="1774"/>
      <c r="D3" s="1774"/>
      <c r="E3" s="1774"/>
      <c r="F3" s="1774"/>
      <c r="G3" s="1774"/>
      <c r="H3" s="1774"/>
      <c r="I3" s="1774"/>
      <c r="J3" s="1774"/>
      <c r="K3" s="1774"/>
    </row>
    <row r="4" spans="1:11" ht="22.5" customHeight="1">
      <c r="B4" s="406"/>
      <c r="C4" s="424" t="s">
        <v>341</v>
      </c>
      <c r="D4" s="1775" t="str">
        <f>'Техническая один зачет'!E15</f>
        <v>Полное Название команды, город (край, область и пр.)</v>
      </c>
      <c r="E4" s="1775"/>
      <c r="F4" s="1775"/>
      <c r="G4" s="1775"/>
      <c r="H4" s="1775"/>
      <c r="I4" s="1775"/>
      <c r="J4" s="1775"/>
      <c r="K4" s="1775"/>
    </row>
    <row r="5" spans="1:11" ht="36.75" customHeight="1">
      <c r="C5" s="838" t="s">
        <v>108</v>
      </c>
      <c r="D5" s="1776" t="str">
        <f>'Техническая один зачет'!G17</f>
        <v>Название Соревнований по подводному спорту (1460008511Я) (плавание в ластах)</v>
      </c>
      <c r="E5" s="1777"/>
      <c r="F5" s="1777"/>
      <c r="G5" s="1777"/>
      <c r="H5" s="1777"/>
      <c r="I5" s="1777"/>
      <c r="J5" s="1777"/>
      <c r="K5" s="1777"/>
    </row>
    <row r="6" spans="1:11" ht="26.25" customHeight="1">
      <c r="C6" s="838" t="s">
        <v>1057</v>
      </c>
      <c r="D6" s="1778" t="str">
        <f>'Техническая один зачет'!U10</f>
        <v>г. Город, бассейн "ААА", 50 м</v>
      </c>
      <c r="E6" s="1778"/>
      <c r="F6" s="1778"/>
      <c r="G6" s="1778"/>
      <c r="H6" s="1778"/>
      <c r="I6" s="1778"/>
      <c r="J6" s="456" t="s">
        <v>346</v>
      </c>
      <c r="K6" s="457" t="str">
        <f>'Техническая один зачет'!U12</f>
        <v>02-06 февраля 2015 г.</v>
      </c>
    </row>
    <row r="7" spans="1:11" ht="12.75" customHeight="1">
      <c r="A7" s="426"/>
      <c r="B7" s="426"/>
      <c r="C7" s="426"/>
      <c r="D7" s="429"/>
      <c r="E7" s="427"/>
      <c r="F7" s="427"/>
      <c r="G7" s="427"/>
      <c r="H7" s="422"/>
      <c r="I7" s="422"/>
      <c r="J7" s="427"/>
      <c r="K7" s="427"/>
    </row>
    <row r="8" spans="1:11" ht="53.25" customHeight="1">
      <c r="A8" s="449" t="s">
        <v>0</v>
      </c>
      <c r="B8" s="1779" t="s">
        <v>348</v>
      </c>
      <c r="C8" s="1779"/>
      <c r="D8" s="1779"/>
      <c r="E8" s="451" t="s">
        <v>339</v>
      </c>
      <c r="F8" s="450" t="s">
        <v>342</v>
      </c>
      <c r="G8" s="451" t="s">
        <v>985</v>
      </c>
      <c r="H8" s="759" t="s">
        <v>984</v>
      </c>
      <c r="I8" s="1780" t="s">
        <v>7</v>
      </c>
      <c r="J8" s="1781"/>
      <c r="K8" s="452" t="s">
        <v>343</v>
      </c>
    </row>
    <row r="9" spans="1:11" s="423" customFormat="1" ht="27" customHeight="1">
      <c r="A9" s="745">
        <v>1</v>
      </c>
      <c r="B9" s="454" t="str">
        <f>'Техническая один зачет'!C21</f>
        <v>Девушки</v>
      </c>
      <c r="C9" s="434"/>
      <c r="D9" s="455" t="str">
        <f>'Техническая один зачет'!D21</f>
        <v xml:space="preserve"> </v>
      </c>
      <c r="E9" s="1051">
        <f>'Техническая один зачет'!E21</f>
        <v>37622</v>
      </c>
      <c r="F9" s="452" t="str">
        <f>IF('Техническая один зачет'!G21="Ж","спортсменка",IF('Техническая один зачет'!G21="М","спортсмен","не понятно кто"))</f>
        <v>спортсменка</v>
      </c>
      <c r="G9" s="452"/>
      <c r="H9" s="452" t="str">
        <f>'Техническая один зачет'!B21</f>
        <v>I</v>
      </c>
      <c r="I9" s="1769" t="str">
        <f>'Техническая один зачет'!H21</f>
        <v>Фамилия_1 Имя Отчество</v>
      </c>
      <c r="J9" s="1770"/>
      <c r="K9" s="453"/>
    </row>
    <row r="10" spans="1:11" s="423" customFormat="1" ht="27" customHeight="1">
      <c r="A10" s="512">
        <v>2</v>
      </c>
      <c r="B10" s="454" t="str">
        <f>'Техническая один зачет'!C22</f>
        <v>Девушки</v>
      </c>
      <c r="C10" s="434"/>
      <c r="D10" s="455" t="str">
        <f>'Техническая один зачет'!D22</f>
        <v xml:space="preserve"> </v>
      </c>
      <c r="E10" s="1051">
        <f>'Техническая один зачет'!E22</f>
        <v>0</v>
      </c>
      <c r="F10" s="452" t="str">
        <f>IF('Техническая один зачет'!G22="Ж","спортсменка",IF('Техническая один зачет'!G22="М","спортсмен","не понятно кто"))</f>
        <v>спортсменка</v>
      </c>
      <c r="G10" s="452"/>
      <c r="H10" s="452" t="str">
        <f>'Техническая один зачет'!B22</f>
        <v>I</v>
      </c>
      <c r="I10" s="1769" t="str">
        <f>'Техническая один зачет'!H22</f>
        <v>Фамилия_1 Имя Отчество</v>
      </c>
      <c r="J10" s="1770"/>
      <c r="K10" s="453"/>
    </row>
    <row r="11" spans="1:11" s="423" customFormat="1" ht="27" customHeight="1">
      <c r="A11" s="745">
        <v>3</v>
      </c>
      <c r="B11" s="454" t="str">
        <f>'Техническая один зачет'!C23</f>
        <v>Девушки</v>
      </c>
      <c r="C11" s="434"/>
      <c r="D11" s="455" t="str">
        <f>'Техническая один зачет'!D23</f>
        <v xml:space="preserve"> </v>
      </c>
      <c r="E11" s="1051">
        <f>'Техническая один зачет'!E23</f>
        <v>0</v>
      </c>
      <c r="F11" s="452" t="str">
        <f>IF('Техническая один зачет'!G23="Ж","спортсменка",IF('Техническая один зачет'!G23="М","спортсмен","не понятно кто"))</f>
        <v>спортсменка</v>
      </c>
      <c r="G11" s="452"/>
      <c r="H11" s="452" t="str">
        <f>'Техническая один зачет'!B23</f>
        <v>ЗМС</v>
      </c>
      <c r="I11" s="1769" t="str">
        <f>'Техническая один зачет'!H23</f>
        <v>Фамилия_1 Имя Отчество</v>
      </c>
      <c r="J11" s="1770"/>
      <c r="K11" s="453"/>
    </row>
    <row r="12" spans="1:11" s="423" customFormat="1" ht="27" customHeight="1">
      <c r="A12" s="745">
        <v>4</v>
      </c>
      <c r="B12" s="454" t="str">
        <f>'Техническая один зачет'!C24</f>
        <v>Девушки</v>
      </c>
      <c r="C12" s="434"/>
      <c r="D12" s="455" t="str">
        <f>'Техническая один зачет'!D24</f>
        <v xml:space="preserve"> </v>
      </c>
      <c r="E12" s="1051">
        <f>'Техническая один зачет'!E24</f>
        <v>0</v>
      </c>
      <c r="F12" s="452" t="str">
        <f>IF('Техническая один зачет'!G24="Ж","спортсменка",IF('Техническая один зачет'!G24="М","спортсмен","не понятно кто"))</f>
        <v>спортсменка</v>
      </c>
      <c r="G12" s="452"/>
      <c r="H12" s="452" t="str">
        <f>'Техническая один зачет'!B24</f>
        <v>МСМК</v>
      </c>
      <c r="I12" s="1769" t="str">
        <f>'Техническая один зачет'!H24</f>
        <v>Фамилия_1 Имя Отчество</v>
      </c>
      <c r="J12" s="1770"/>
      <c r="K12" s="453"/>
    </row>
    <row r="13" spans="1:11" s="423" customFormat="1" ht="27" customHeight="1">
      <c r="A13" s="745">
        <v>5</v>
      </c>
      <c r="B13" s="454" t="str">
        <f>'Техническая один зачет'!C25</f>
        <v>Девушки</v>
      </c>
      <c r="C13" s="434"/>
      <c r="D13" s="455" t="str">
        <f>'Техническая один зачет'!D25</f>
        <v xml:space="preserve"> </v>
      </c>
      <c r="E13" s="1051">
        <f>'Техническая один зачет'!E25</f>
        <v>0</v>
      </c>
      <c r="F13" s="452" t="str">
        <f>IF('Техническая один зачет'!G25="Ж","спортсменка",IF('Техническая один зачет'!G25="М","спортсмен","не понятно кто"))</f>
        <v>спортсменка</v>
      </c>
      <c r="G13" s="452"/>
      <c r="H13" s="452" t="str">
        <f>'Техническая один зачет'!B25</f>
        <v>МС</v>
      </c>
      <c r="I13" s="1769" t="str">
        <f>'Техническая один зачет'!H25</f>
        <v>Фамилия_1 Имя Отчество</v>
      </c>
      <c r="J13" s="1770"/>
      <c r="K13" s="453"/>
    </row>
    <row r="14" spans="1:11" s="423" customFormat="1" ht="27" customHeight="1">
      <c r="A14" s="745">
        <v>6</v>
      </c>
      <c r="B14" s="454" t="str">
        <f>'Техническая один зачет'!C26</f>
        <v>Девушки</v>
      </c>
      <c r="C14" s="434"/>
      <c r="D14" s="455" t="str">
        <f>'Техническая один зачет'!D26</f>
        <v xml:space="preserve"> </v>
      </c>
      <c r="E14" s="1051">
        <f>'Техническая один зачет'!E26</f>
        <v>0</v>
      </c>
      <c r="F14" s="452" t="str">
        <f>IF('Техническая один зачет'!G26="Ж","спортсменка",IF('Техническая один зачет'!G26="М","спортсмен","не понятно кто"))</f>
        <v>спортсменка</v>
      </c>
      <c r="G14" s="452"/>
      <c r="H14" s="452" t="str">
        <f>'Техническая один зачет'!B26</f>
        <v>КМС</v>
      </c>
      <c r="I14" s="1769" t="str">
        <f>'Техническая один зачет'!H26</f>
        <v>Фамилия_1 Имя Отчество</v>
      </c>
      <c r="J14" s="1770"/>
      <c r="K14" s="453"/>
    </row>
    <row r="15" spans="1:11" s="423" customFormat="1" ht="27" customHeight="1">
      <c r="A15" s="745">
        <v>7</v>
      </c>
      <c r="B15" s="454" t="str">
        <f>'Техническая один зачет'!C27</f>
        <v>Девушки</v>
      </c>
      <c r="C15" s="434"/>
      <c r="D15" s="455" t="str">
        <f>'Техническая один зачет'!D27</f>
        <v xml:space="preserve"> </v>
      </c>
      <c r="E15" s="1051">
        <f>'Техническая один зачет'!E27</f>
        <v>0</v>
      </c>
      <c r="F15" s="452" t="str">
        <f>IF('Техническая один зачет'!G27="Ж","спортсменка",IF('Техническая один зачет'!G27="М","спортсмен","не понятно кто"))</f>
        <v>спортсменка</v>
      </c>
      <c r="G15" s="452"/>
      <c r="H15" s="452" t="str">
        <f>'Техническая один зачет'!B27</f>
        <v>I</v>
      </c>
      <c r="I15" s="1769" t="str">
        <f>'Техническая один зачет'!H27</f>
        <v>Фамилия_1 Имя Отчество</v>
      </c>
      <c r="J15" s="1770"/>
      <c r="K15" s="453"/>
    </row>
    <row r="16" spans="1:11" s="423" customFormat="1" ht="27" customHeight="1">
      <c r="A16" s="745">
        <v>8</v>
      </c>
      <c r="B16" s="454" t="str">
        <f>'Техническая один зачет'!C28</f>
        <v>Девушки</v>
      </c>
      <c r="C16" s="434"/>
      <c r="D16" s="455" t="str">
        <f>'Техническая один зачет'!D28</f>
        <v xml:space="preserve"> </v>
      </c>
      <c r="E16" s="1051">
        <f>'Техническая один зачет'!E28</f>
        <v>0</v>
      </c>
      <c r="F16" s="452" t="str">
        <f>IF('Техническая один зачет'!G28="Ж","спортсменка",IF('Техническая один зачет'!G28="М","спортсмен","не понятно кто"))</f>
        <v>спортсменка</v>
      </c>
      <c r="G16" s="452"/>
      <c r="H16" s="452" t="str">
        <f>'Техническая один зачет'!B28</f>
        <v>I</v>
      </c>
      <c r="I16" s="1769" t="str">
        <f>'Техническая один зачет'!H28</f>
        <v>Фамилия_1 Имя Отчество</v>
      </c>
      <c r="J16" s="1770"/>
      <c r="K16" s="453"/>
    </row>
    <row r="17" spans="1:11" s="423" customFormat="1" ht="27" customHeight="1">
      <c r="A17" s="745">
        <v>9</v>
      </c>
      <c r="B17" s="454" t="str">
        <f>'Техническая один зачет'!C29</f>
        <v>Девушки</v>
      </c>
      <c r="C17" s="434"/>
      <c r="D17" s="455" t="str">
        <f>'Техническая один зачет'!D29</f>
        <v xml:space="preserve"> </v>
      </c>
      <c r="E17" s="1051">
        <f>'Техническая один зачет'!E29</f>
        <v>0</v>
      </c>
      <c r="F17" s="452" t="str">
        <f>IF('Техническая один зачет'!G29="Ж","спортсменка",IF('Техническая один зачет'!G29="М","спортсмен","не понятно кто"))</f>
        <v>спортсменка</v>
      </c>
      <c r="G17" s="452"/>
      <c r="H17" s="452" t="str">
        <f>'Техническая один зачет'!B29</f>
        <v>III</v>
      </c>
      <c r="I17" s="1769" t="str">
        <f>'Техническая один зачет'!H29</f>
        <v>Фамилия_1 Имя Отчество</v>
      </c>
      <c r="J17" s="1770"/>
      <c r="K17" s="453"/>
    </row>
    <row r="18" spans="1:11" s="423" customFormat="1" ht="27" customHeight="1">
      <c r="A18" s="745">
        <v>10</v>
      </c>
      <c r="B18" s="454" t="str">
        <f>'Техническая один зачет'!C30</f>
        <v>Девушки</v>
      </c>
      <c r="C18" s="434"/>
      <c r="D18" s="455" t="str">
        <f>'Техническая один зачет'!D30</f>
        <v xml:space="preserve"> </v>
      </c>
      <c r="E18" s="1051">
        <f>'Техническая один зачет'!E30</f>
        <v>0</v>
      </c>
      <c r="F18" s="452" t="str">
        <f>IF('Техническая один зачет'!G30="Ж","спортсменка",IF('Техническая один зачет'!G30="М","спортсмен","не понятно кто"))</f>
        <v>спортсменка</v>
      </c>
      <c r="G18" s="452"/>
      <c r="H18" s="452" t="str">
        <f>'Техническая один зачет'!B30</f>
        <v>I</v>
      </c>
      <c r="I18" s="1769" t="str">
        <f>'Техническая один зачет'!H30</f>
        <v>Фамилия_1 Имя Отчество</v>
      </c>
      <c r="J18" s="1770"/>
      <c r="K18" s="453"/>
    </row>
    <row r="19" spans="1:11" s="423" customFormat="1" ht="27" customHeight="1">
      <c r="A19" s="745">
        <v>11</v>
      </c>
      <c r="B19" s="454" t="str">
        <f>'Техническая один зачет'!C31</f>
        <v>Девушки</v>
      </c>
      <c r="C19" s="434"/>
      <c r="D19" s="455" t="str">
        <f>'Техническая один зачет'!D31</f>
        <v xml:space="preserve"> </v>
      </c>
      <c r="E19" s="1051">
        <f>'Техническая один зачет'!E31</f>
        <v>0</v>
      </c>
      <c r="F19" s="452" t="str">
        <f>IF('Техническая один зачет'!G31="Ж","спортсменка",IF('Техническая один зачет'!G31="М","спортсмен","не понятно кто"))</f>
        <v>спортсменка</v>
      </c>
      <c r="G19" s="452"/>
      <c r="H19" s="452" t="str">
        <f>'Техническая один зачет'!B31</f>
        <v>I юн</v>
      </c>
      <c r="I19" s="1769" t="str">
        <f>'Техническая один зачет'!H31</f>
        <v>Фамилия_1 Имя Отчество</v>
      </c>
      <c r="J19" s="1770"/>
      <c r="K19" s="453"/>
    </row>
    <row r="20" spans="1:11" s="423" customFormat="1" ht="27" customHeight="1">
      <c r="A20" s="745">
        <v>12</v>
      </c>
      <c r="B20" s="454" t="str">
        <f>'Техническая один зачет'!C32</f>
        <v>Девушки</v>
      </c>
      <c r="C20" s="434"/>
      <c r="D20" s="455" t="str">
        <f>'Техническая один зачет'!D32</f>
        <v xml:space="preserve"> </v>
      </c>
      <c r="E20" s="1051">
        <f>'Техническая один зачет'!E32</f>
        <v>0</v>
      </c>
      <c r="F20" s="452" t="str">
        <f>IF('Техническая один зачет'!G32="Ж","спортсменка",IF('Техническая один зачет'!G32="М","спортсмен","не понятно кто"))</f>
        <v>спортсменка</v>
      </c>
      <c r="G20" s="452"/>
      <c r="H20" s="452" t="str">
        <f>'Техническая один зачет'!B32</f>
        <v>КМС</v>
      </c>
      <c r="I20" s="1769" t="str">
        <f>'Техническая один зачет'!H32</f>
        <v>Фамилия_1 Имя Отчество</v>
      </c>
      <c r="J20" s="1770"/>
      <c r="K20" s="453"/>
    </row>
    <row r="21" spans="1:11" s="423" customFormat="1" ht="27" customHeight="1">
      <c r="A21" s="745">
        <v>13</v>
      </c>
      <c r="B21" s="454" t="str">
        <f>'Техническая один зачет'!C33</f>
        <v>Девушки</v>
      </c>
      <c r="C21" s="434"/>
      <c r="D21" s="455" t="str">
        <f>'Техническая один зачет'!D33</f>
        <v xml:space="preserve"> </v>
      </c>
      <c r="E21" s="1051">
        <f>'Техническая один зачет'!E33</f>
        <v>0</v>
      </c>
      <c r="F21" s="452" t="str">
        <f>IF('Техническая один зачет'!G33="Ж","спортсменка",IF('Техническая один зачет'!G33="М","спортсмен","не понятно кто"))</f>
        <v>спортсменка</v>
      </c>
      <c r="G21" s="452"/>
      <c r="H21" s="452" t="str">
        <f>'Техническая один зачет'!B33</f>
        <v>I</v>
      </c>
      <c r="I21" s="1769" t="str">
        <f>'Техническая один зачет'!H33</f>
        <v>Фамилия_1 Имя Отчество</v>
      </c>
      <c r="J21" s="1770"/>
      <c r="K21" s="453"/>
    </row>
    <row r="22" spans="1:11" s="423" customFormat="1" ht="27" customHeight="1">
      <c r="A22" s="745">
        <v>14</v>
      </c>
      <c r="B22" s="454" t="str">
        <f>'Техническая один зачет'!C34</f>
        <v>Девушки</v>
      </c>
      <c r="C22" s="434"/>
      <c r="D22" s="455" t="str">
        <f>'Техническая один зачет'!D34</f>
        <v xml:space="preserve"> </v>
      </c>
      <c r="E22" s="1051">
        <f>'Техническая один зачет'!E34</f>
        <v>0</v>
      </c>
      <c r="F22" s="452" t="str">
        <f>IF('Техническая один зачет'!G34="Ж","спортсменка",IF('Техническая один зачет'!G34="М","спортсмен","не понятно кто"))</f>
        <v>спортсменка</v>
      </c>
      <c r="G22" s="452"/>
      <c r="H22" s="452" t="str">
        <f>'Техническая один зачет'!B34</f>
        <v>I</v>
      </c>
      <c r="I22" s="1769" t="str">
        <f>'Техническая один зачет'!H34</f>
        <v>Фамилия_1 Имя Отчество</v>
      </c>
      <c r="J22" s="1770"/>
      <c r="K22" s="453"/>
    </row>
    <row r="23" spans="1:11" s="423" customFormat="1" ht="27" customHeight="1">
      <c r="A23" s="745">
        <v>15</v>
      </c>
      <c r="B23" s="454" t="str">
        <f>'Техническая один зачет'!C35</f>
        <v>Девушки</v>
      </c>
      <c r="C23" s="434"/>
      <c r="D23" s="455" t="str">
        <f>'Техническая один зачет'!D35</f>
        <v xml:space="preserve"> </v>
      </c>
      <c r="E23" s="1051">
        <f>'Техническая один зачет'!E35</f>
        <v>0</v>
      </c>
      <c r="F23" s="452" t="str">
        <f>IF('Техническая один зачет'!G35="Ж","спортсменка",IF('Техническая один зачет'!G35="М","спортсмен","не понятно кто"))</f>
        <v>спортсменка</v>
      </c>
      <c r="G23" s="452"/>
      <c r="H23" s="452" t="str">
        <f>'Техническая один зачет'!B35</f>
        <v>I</v>
      </c>
      <c r="I23" s="1769" t="str">
        <f>'Техническая один зачет'!H35</f>
        <v>Фамилия_1 Имя Отчество</v>
      </c>
      <c r="J23" s="1770"/>
      <c r="K23" s="453"/>
    </row>
    <row r="24" spans="1:11" s="423" customFormat="1" ht="27" customHeight="1">
      <c r="A24" s="745">
        <v>16</v>
      </c>
      <c r="B24" s="454" t="str">
        <f>'Техническая один зачет'!C36</f>
        <v>Девушки</v>
      </c>
      <c r="C24" s="434"/>
      <c r="D24" s="455" t="str">
        <f>'Техническая один зачет'!D36</f>
        <v xml:space="preserve"> </v>
      </c>
      <c r="E24" s="1051">
        <f>'Техническая один зачет'!E36</f>
        <v>0</v>
      </c>
      <c r="F24" s="452" t="str">
        <f>IF('Техническая один зачет'!G36="Ж","спортсменка",IF('Техническая один зачет'!G36="М","спортсмен","не понятно кто"))</f>
        <v>спортсменка</v>
      </c>
      <c r="G24" s="452"/>
      <c r="H24" s="452" t="str">
        <f>'Техническая один зачет'!B36</f>
        <v>I</v>
      </c>
      <c r="I24" s="1769" t="str">
        <f>'Техническая один зачет'!H36</f>
        <v>Фамилия_1 Имя Отчество</v>
      </c>
      <c r="J24" s="1770"/>
      <c r="K24" s="453"/>
    </row>
    <row r="25" spans="1:11" s="423" customFormat="1" ht="27" customHeight="1">
      <c r="A25" s="745">
        <v>17</v>
      </c>
      <c r="B25" s="454" t="str">
        <f>'Техническая один зачет'!C37</f>
        <v>Девушки</v>
      </c>
      <c r="C25" s="434"/>
      <c r="D25" s="455" t="str">
        <f>'Техническая один зачет'!D37</f>
        <v xml:space="preserve"> </v>
      </c>
      <c r="E25" s="1051">
        <f>'Техническая один зачет'!E37</f>
        <v>0</v>
      </c>
      <c r="F25" s="452" t="str">
        <f>IF('Техническая один зачет'!G37="Ж","спортсменка",IF('Техническая один зачет'!G37="М","спортсмен","не понятно кто"))</f>
        <v>спортсменка</v>
      </c>
      <c r="G25" s="452"/>
      <c r="H25" s="452" t="str">
        <f>'Техническая один зачет'!B37</f>
        <v>I юн</v>
      </c>
      <c r="I25" s="1769" t="str">
        <f>'Техническая один зачет'!H37</f>
        <v>Фамилия_1 Имя Отчество</v>
      </c>
      <c r="J25" s="1770"/>
      <c r="K25" s="453"/>
    </row>
    <row r="26" spans="1:11" s="423" customFormat="1" ht="27" customHeight="1">
      <c r="A26" s="745">
        <v>18</v>
      </c>
      <c r="B26" s="454" t="str">
        <f>'Техническая один зачет'!C38</f>
        <v>Девушки</v>
      </c>
      <c r="C26" s="434"/>
      <c r="D26" s="455" t="str">
        <f>'Техническая один зачет'!D38</f>
        <v xml:space="preserve"> </v>
      </c>
      <c r="E26" s="1051">
        <f>'Техническая один зачет'!E38</f>
        <v>0</v>
      </c>
      <c r="F26" s="452" t="str">
        <f>IF('Техническая один зачет'!G38="Ж","спортсменка",IF('Техническая один зачет'!G38="М","спортсмен","не понятно кто"))</f>
        <v>спортсменка</v>
      </c>
      <c r="G26" s="452"/>
      <c r="H26" s="452" t="str">
        <f>'Техническая один зачет'!B38</f>
        <v>II юн</v>
      </c>
      <c r="I26" s="1769" t="str">
        <f>'Техническая один зачет'!H38</f>
        <v>Фамилия_1 Имя Отчество</v>
      </c>
      <c r="J26" s="1770"/>
      <c r="K26" s="453"/>
    </row>
    <row r="27" spans="1:11" s="423" customFormat="1" ht="27" customHeight="1">
      <c r="A27" s="745">
        <v>19</v>
      </c>
      <c r="B27" s="454" t="str">
        <f>'Техническая один зачет'!C39</f>
        <v>Девушки</v>
      </c>
      <c r="C27" s="434"/>
      <c r="D27" s="455" t="str">
        <f>'Техническая один зачет'!D39</f>
        <v xml:space="preserve"> </v>
      </c>
      <c r="E27" s="1051">
        <f>'Техническая один зачет'!E39</f>
        <v>0</v>
      </c>
      <c r="F27" s="452" t="str">
        <f>IF('Техническая один зачет'!G39="Ж","спортсменка",IF('Техническая один зачет'!G39="М","спортсмен","не понятно кто"))</f>
        <v>спортсменка</v>
      </c>
      <c r="G27" s="452"/>
      <c r="H27" s="452" t="str">
        <f>'Техническая один зачет'!B39</f>
        <v>III юн</v>
      </c>
      <c r="I27" s="1769" t="str">
        <f>'Техническая один зачет'!H39</f>
        <v>Фамилия_1 Имя Отчество</v>
      </c>
      <c r="J27" s="1770"/>
      <c r="K27" s="453"/>
    </row>
    <row r="28" spans="1:11" s="423" customFormat="1" ht="27" customHeight="1">
      <c r="A28" s="745">
        <v>20</v>
      </c>
      <c r="B28" s="454" t="str">
        <f>'Техническая один зачет'!C40</f>
        <v>Девушки</v>
      </c>
      <c r="C28" s="434"/>
      <c r="D28" s="455" t="str">
        <f>'Техническая один зачет'!D40</f>
        <v xml:space="preserve"> </v>
      </c>
      <c r="E28" s="1051">
        <f>'Техническая один зачет'!E40</f>
        <v>0</v>
      </c>
      <c r="F28" s="452" t="str">
        <f>IF('Техническая один зачет'!G40="Ж","спортсменка",IF('Техническая один зачет'!G40="М","спортсмен","не понятно кто"))</f>
        <v>спортсменка</v>
      </c>
      <c r="G28" s="452"/>
      <c r="H28" s="452" t="str">
        <f>'Техническая один зачет'!B40</f>
        <v>МСМК</v>
      </c>
      <c r="I28" s="1769" t="str">
        <f>'Техническая один зачет'!H40</f>
        <v>Фамилия_1 Имя Отчество</v>
      </c>
      <c r="J28" s="1770"/>
      <c r="K28" s="453"/>
    </row>
    <row r="29" spans="1:11" s="423" customFormat="1" ht="27" customHeight="1">
      <c r="A29" s="745">
        <v>21</v>
      </c>
      <c r="B29" s="454" t="str">
        <f>'Техническая один зачет'!C41</f>
        <v>Девушки</v>
      </c>
      <c r="C29" s="434"/>
      <c r="D29" s="455" t="str">
        <f>'Техническая один зачет'!D41</f>
        <v xml:space="preserve"> </v>
      </c>
      <c r="E29" s="1051">
        <f>'Техническая один зачет'!E41</f>
        <v>0</v>
      </c>
      <c r="F29" s="452" t="str">
        <f>IF('Техническая один зачет'!G41="Ж","спортсменка",IF('Техническая один зачет'!G41="М","спортсмен","не понятно кто"))</f>
        <v>спортсменка</v>
      </c>
      <c r="G29" s="452"/>
      <c r="H29" s="452" t="str">
        <f>'Техническая один зачет'!B41</f>
        <v>МС</v>
      </c>
      <c r="I29" s="1769" t="str">
        <f>'Техническая один зачет'!H41</f>
        <v>Фамилия_1 Имя Отчество</v>
      </c>
      <c r="J29" s="1770"/>
      <c r="K29" s="453"/>
    </row>
    <row r="30" spans="1:11" s="423" customFormat="1" ht="27" customHeight="1">
      <c r="A30" s="745">
        <v>22</v>
      </c>
      <c r="B30" s="454" t="str">
        <f>'Техническая один зачет'!C42</f>
        <v>Девушки</v>
      </c>
      <c r="C30" s="434"/>
      <c r="D30" s="455" t="str">
        <f>'Техническая один зачет'!D42</f>
        <v xml:space="preserve"> </v>
      </c>
      <c r="E30" s="1051">
        <f>'Техническая один зачет'!E42</f>
        <v>0</v>
      </c>
      <c r="F30" s="452" t="str">
        <f>IF('Техническая один зачет'!G42="Ж","спортсменка",IF('Техническая один зачет'!G42="М","спортсмен","не понятно кто"))</f>
        <v>спортсменка</v>
      </c>
      <c r="G30" s="452"/>
      <c r="H30" s="452" t="str">
        <f>'Техническая один зачет'!B42</f>
        <v>I</v>
      </c>
      <c r="I30" s="1769" t="str">
        <f>'Техническая один зачет'!H42</f>
        <v>Фамилия_1 Имя Отчество</v>
      </c>
      <c r="J30" s="1770"/>
      <c r="K30" s="453"/>
    </row>
    <row r="31" spans="1:11" s="423" customFormat="1" ht="27" customHeight="1">
      <c r="A31" s="745">
        <v>23</v>
      </c>
      <c r="B31" s="454" t="str">
        <f>'Техническая один зачет'!C43</f>
        <v>Девушки</v>
      </c>
      <c r="C31" s="434"/>
      <c r="D31" s="455" t="str">
        <f>'Техническая один зачет'!D43</f>
        <v xml:space="preserve"> </v>
      </c>
      <c r="E31" s="1051">
        <f>'Техническая один зачет'!E43</f>
        <v>0</v>
      </c>
      <c r="F31" s="452" t="str">
        <f>IF('Техническая один зачет'!G43="Ж","спортсменка",IF('Техническая один зачет'!G43="М","спортсмен","не понятно кто"))</f>
        <v>спортсменка</v>
      </c>
      <c r="G31" s="452"/>
      <c r="H31" s="452" t="str">
        <f>'Техническая один зачет'!B43</f>
        <v>МС</v>
      </c>
      <c r="I31" s="1769" t="str">
        <f>'Техническая один зачет'!H43</f>
        <v>Фамилия_1 Имя Отчество</v>
      </c>
      <c r="J31" s="1770"/>
      <c r="K31" s="453"/>
    </row>
    <row r="32" spans="1:11" s="423" customFormat="1" ht="27" customHeight="1">
      <c r="A32" s="745">
        <v>24</v>
      </c>
      <c r="B32" s="454" t="str">
        <f>'Техническая один зачет'!C44</f>
        <v>Девушки</v>
      </c>
      <c r="C32" s="434"/>
      <c r="D32" s="455" t="str">
        <f>'Техническая один зачет'!D44</f>
        <v xml:space="preserve"> </v>
      </c>
      <c r="E32" s="1051">
        <f>'Техническая один зачет'!E44</f>
        <v>0</v>
      </c>
      <c r="F32" s="452" t="str">
        <f>IF('Техническая один зачет'!G44="Ж","спортсменка",IF('Техническая один зачет'!G44="М","спортсмен","не понятно кто"))</f>
        <v>спортсменка</v>
      </c>
      <c r="G32" s="452"/>
      <c r="H32" s="452" t="str">
        <f>'Техническая один зачет'!B44</f>
        <v>I</v>
      </c>
      <c r="I32" s="1769" t="str">
        <f>'Техническая один зачет'!H44</f>
        <v>Фамилия_1 Имя Отчество</v>
      </c>
      <c r="J32" s="1770"/>
      <c r="K32" s="453"/>
    </row>
    <row r="33" spans="1:11" s="423" customFormat="1" ht="27" customHeight="1">
      <c r="A33" s="745">
        <v>25</v>
      </c>
      <c r="B33" s="454" t="str">
        <f>'Техническая один зачет'!C45</f>
        <v>Девушки</v>
      </c>
      <c r="C33" s="434"/>
      <c r="D33" s="455" t="str">
        <f>'Техническая один зачет'!D45</f>
        <v xml:space="preserve"> </v>
      </c>
      <c r="E33" s="1051">
        <f>'Техническая один зачет'!E45</f>
        <v>0</v>
      </c>
      <c r="F33" s="452" t="str">
        <f>IF('Техническая один зачет'!G45="Ж","спортсменка",IF('Техническая один зачет'!G45="М","спортсмен","не понятно кто"))</f>
        <v>спортсменка</v>
      </c>
      <c r="G33" s="452"/>
      <c r="H33" s="452" t="str">
        <f>'Техническая один зачет'!B45</f>
        <v>II</v>
      </c>
      <c r="I33" s="1769" t="str">
        <f>'Техническая один зачет'!H45</f>
        <v>Фамилия_1 Имя Отчество</v>
      </c>
      <c r="J33" s="1770"/>
      <c r="K33" s="453"/>
    </row>
    <row r="34" spans="1:11" s="423" customFormat="1" ht="27" customHeight="1">
      <c r="A34" s="758">
        <v>26</v>
      </c>
      <c r="B34" s="454" t="str">
        <f>'Техническая один зачет'!C46</f>
        <v>Юноши</v>
      </c>
      <c r="C34" s="434"/>
      <c r="D34" s="455" t="str">
        <f>'Техническая один зачет'!D46</f>
        <v xml:space="preserve"> </v>
      </c>
      <c r="E34" s="1051">
        <f>'Техническая один зачет'!E46</f>
        <v>0</v>
      </c>
      <c r="F34" s="452" t="str">
        <f>IF('Техническая один зачет'!G46="Ж","спортсменка",IF('Техническая один зачет'!G46="М","спортсмен","не понятно кто"))</f>
        <v>спортсмен</v>
      </c>
      <c r="G34" s="452"/>
      <c r="H34" s="452" t="str">
        <f>'Техническая один зачет'!B46</f>
        <v>III юн</v>
      </c>
      <c r="I34" s="1769" t="str">
        <f>'Техническая один зачет'!H46</f>
        <v>Фамилия_1 Имя Отчество</v>
      </c>
      <c r="J34" s="1770"/>
      <c r="K34" s="453"/>
    </row>
    <row r="35" spans="1:11" s="423" customFormat="1" ht="27" customHeight="1">
      <c r="A35" s="758">
        <v>27</v>
      </c>
      <c r="B35" s="454" t="str">
        <f>'Техническая один зачет'!C47</f>
        <v>Юноши</v>
      </c>
      <c r="C35" s="434"/>
      <c r="D35" s="455" t="str">
        <f>'Техническая один зачет'!D47</f>
        <v xml:space="preserve"> </v>
      </c>
      <c r="E35" s="1051">
        <f>'Техническая один зачет'!E47</f>
        <v>0</v>
      </c>
      <c r="F35" s="452" t="str">
        <f>IF('Техническая один зачет'!G47="Ж","спортсменка",IF('Техническая один зачет'!G47="М","спортсмен","не понятно кто"))</f>
        <v>спортсмен</v>
      </c>
      <c r="G35" s="452"/>
      <c r="H35" s="452" t="str">
        <f>'Техническая один зачет'!B47</f>
        <v>II</v>
      </c>
      <c r="I35" s="1769" t="str">
        <f>'Техническая один зачет'!H47</f>
        <v>Фамилия_1 Имя Отчество</v>
      </c>
      <c r="J35" s="1770"/>
      <c r="K35" s="453"/>
    </row>
    <row r="36" spans="1:11" s="423" customFormat="1" ht="27" customHeight="1">
      <c r="A36" s="758">
        <v>28</v>
      </c>
      <c r="B36" s="454" t="str">
        <f>'Техническая один зачет'!C48</f>
        <v>Юноши</v>
      </c>
      <c r="C36" s="434"/>
      <c r="D36" s="455" t="str">
        <f>'Техническая один зачет'!D48</f>
        <v xml:space="preserve"> </v>
      </c>
      <c r="E36" s="1051">
        <f>'Техническая один зачет'!E48</f>
        <v>0</v>
      </c>
      <c r="F36" s="452" t="str">
        <f>IF('Техническая один зачет'!G48="Ж","спортсменка",IF('Техническая один зачет'!G48="М","спортсмен","не понятно кто"))</f>
        <v>спортсмен</v>
      </c>
      <c r="G36" s="452"/>
      <c r="H36" s="452" t="str">
        <f>'Техническая один зачет'!B48</f>
        <v>ЗМС</v>
      </c>
      <c r="I36" s="1769" t="str">
        <f>'Техническая один зачет'!H48</f>
        <v>Фамилия_1 Имя Отчество</v>
      </c>
      <c r="J36" s="1770"/>
      <c r="K36" s="453"/>
    </row>
    <row r="37" spans="1:11" s="423" customFormat="1" ht="27" customHeight="1">
      <c r="A37" s="758">
        <v>29</v>
      </c>
      <c r="B37" s="454" t="str">
        <f>'Техническая один зачет'!C49</f>
        <v>Юноши</v>
      </c>
      <c r="C37" s="434"/>
      <c r="D37" s="455" t="str">
        <f>'Техническая один зачет'!D49</f>
        <v xml:space="preserve"> </v>
      </c>
      <c r="E37" s="1051">
        <f>'Техническая один зачет'!E49</f>
        <v>0</v>
      </c>
      <c r="F37" s="452" t="str">
        <f>IF('Техническая один зачет'!G49="Ж","спортсменка",IF('Техническая один зачет'!G49="М","спортсмен","не понятно кто"))</f>
        <v>спортсмен</v>
      </c>
      <c r="G37" s="452"/>
      <c r="H37" s="452" t="str">
        <f>'Техническая один зачет'!B49</f>
        <v>МСМК</v>
      </c>
      <c r="I37" s="1769" t="str">
        <f>'Техническая один зачет'!H49</f>
        <v>Фамилия_1 Имя Отчество</v>
      </c>
      <c r="J37" s="1770"/>
      <c r="K37" s="453"/>
    </row>
    <row r="38" spans="1:11" s="423" customFormat="1" ht="27" customHeight="1">
      <c r="A38" s="758">
        <v>30</v>
      </c>
      <c r="B38" s="454" t="str">
        <f>'Техническая один зачет'!C50</f>
        <v>Юноши</v>
      </c>
      <c r="C38" s="434"/>
      <c r="D38" s="455" t="str">
        <f>'Техническая один зачет'!D50</f>
        <v xml:space="preserve"> </v>
      </c>
      <c r="E38" s="1051">
        <f>'Техническая один зачет'!E50</f>
        <v>0</v>
      </c>
      <c r="F38" s="452" t="str">
        <f>IF('Техническая один зачет'!G50="Ж","спортсменка",IF('Техническая один зачет'!G50="М","спортсмен","не понятно кто"))</f>
        <v>спортсмен</v>
      </c>
      <c r="G38" s="452"/>
      <c r="H38" s="452" t="str">
        <f>'Техническая один зачет'!B50</f>
        <v>МС</v>
      </c>
      <c r="I38" s="1769" t="str">
        <f>'Техническая один зачет'!H50</f>
        <v>Фамилия_1 Имя Отчество</v>
      </c>
      <c r="J38" s="1770"/>
      <c r="K38" s="453"/>
    </row>
    <row r="39" spans="1:11" s="423" customFormat="1" ht="27" customHeight="1">
      <c r="A39" s="758">
        <v>31</v>
      </c>
      <c r="B39" s="454" t="str">
        <f>'Техническая один зачет'!C51</f>
        <v>Юноши</v>
      </c>
      <c r="C39" s="434"/>
      <c r="D39" s="455" t="str">
        <f>'Техническая один зачет'!D51</f>
        <v xml:space="preserve"> </v>
      </c>
      <c r="E39" s="1051">
        <f>'Техническая один зачет'!E51</f>
        <v>0</v>
      </c>
      <c r="F39" s="452" t="str">
        <f>IF('Техническая один зачет'!G51="Ж","спортсменка",IF('Техническая один зачет'!G51="М","спортсмен","не понятно кто"))</f>
        <v>спортсмен</v>
      </c>
      <c r="G39" s="452"/>
      <c r="H39" s="452" t="str">
        <f>'Техническая один зачет'!B51</f>
        <v>КМС</v>
      </c>
      <c r="I39" s="1769" t="str">
        <f>'Техническая один зачет'!H51</f>
        <v>Фамилия_1 Имя Отчество</v>
      </c>
      <c r="J39" s="1770"/>
      <c r="K39" s="453"/>
    </row>
    <row r="40" spans="1:11" s="423" customFormat="1" ht="27" customHeight="1">
      <c r="A40" s="758">
        <v>32</v>
      </c>
      <c r="B40" s="454" t="str">
        <f>'Техническая один зачет'!C52</f>
        <v>Юноши</v>
      </c>
      <c r="C40" s="434"/>
      <c r="D40" s="455" t="str">
        <f>'Техническая один зачет'!D52</f>
        <v xml:space="preserve"> </v>
      </c>
      <c r="E40" s="1051">
        <f>'Техническая один зачет'!E52</f>
        <v>0</v>
      </c>
      <c r="F40" s="452" t="str">
        <f>IF('Техническая один зачет'!G52="Ж","спортсменка",IF('Техническая один зачет'!G52="М","спортсмен","не понятно кто"))</f>
        <v>спортсмен</v>
      </c>
      <c r="G40" s="452"/>
      <c r="H40" s="452" t="str">
        <f>'Техническая один зачет'!B52</f>
        <v>КМС</v>
      </c>
      <c r="I40" s="1769" t="str">
        <f>'Техническая один зачет'!H52</f>
        <v>Фамилия_1 Имя Отчество</v>
      </c>
      <c r="J40" s="1770"/>
      <c r="K40" s="453"/>
    </row>
    <row r="41" spans="1:11" s="423" customFormat="1" ht="27" customHeight="1">
      <c r="A41" s="758">
        <v>33</v>
      </c>
      <c r="B41" s="454" t="str">
        <f>'Техническая один зачет'!C53</f>
        <v>Юноши</v>
      </c>
      <c r="C41" s="434"/>
      <c r="D41" s="455" t="str">
        <f>'Техническая один зачет'!D53</f>
        <v xml:space="preserve"> </v>
      </c>
      <c r="E41" s="1051">
        <f>'Техническая один зачет'!E53</f>
        <v>0</v>
      </c>
      <c r="F41" s="452" t="str">
        <f>IF('Техническая один зачет'!G53="Ж","спортсменка",IF('Техническая один зачет'!G53="М","спортсмен","не понятно кто"))</f>
        <v>спортсмен</v>
      </c>
      <c r="G41" s="452"/>
      <c r="H41" s="452" t="str">
        <f>'Техническая один зачет'!B53</f>
        <v>КМС</v>
      </c>
      <c r="I41" s="1769" t="str">
        <f>'Техническая один зачет'!H53</f>
        <v>Фамилия_1 Имя Отчество</v>
      </c>
      <c r="J41" s="1770"/>
      <c r="K41" s="453"/>
    </row>
    <row r="42" spans="1:11" s="423" customFormat="1" ht="27" customHeight="1">
      <c r="A42" s="758">
        <v>34</v>
      </c>
      <c r="B42" s="454" t="str">
        <f>'Техническая один зачет'!C54</f>
        <v>Юноши</v>
      </c>
      <c r="C42" s="434"/>
      <c r="D42" s="455" t="str">
        <f>'Техническая один зачет'!D54</f>
        <v xml:space="preserve"> </v>
      </c>
      <c r="E42" s="1051">
        <f>'Техническая один зачет'!E54</f>
        <v>0</v>
      </c>
      <c r="F42" s="452" t="str">
        <f>IF('Техническая один зачет'!G54="Ж","спортсменка",IF('Техническая один зачет'!G54="М","спортсмен","не понятно кто"))</f>
        <v>спортсмен</v>
      </c>
      <c r="G42" s="452"/>
      <c r="H42" s="452" t="str">
        <f>'Техническая один зачет'!B54</f>
        <v>ЗМС</v>
      </c>
      <c r="I42" s="1769" t="str">
        <f>'Техническая один зачет'!H54</f>
        <v>Фамилия_1 Имя Отчество</v>
      </c>
      <c r="J42" s="1770"/>
      <c r="K42" s="453"/>
    </row>
    <row r="43" spans="1:11" s="423" customFormat="1" ht="27" customHeight="1">
      <c r="A43" s="758">
        <v>35</v>
      </c>
      <c r="B43" s="454" t="str">
        <f>'Техническая один зачет'!C55</f>
        <v>Юноши</v>
      </c>
      <c r="C43" s="434"/>
      <c r="D43" s="455" t="str">
        <f>'Техническая один зачет'!D55</f>
        <v xml:space="preserve"> </v>
      </c>
      <c r="E43" s="1051">
        <f>'Техническая один зачет'!E55</f>
        <v>0</v>
      </c>
      <c r="F43" s="452" t="str">
        <f>IF('Техническая один зачет'!G55="Ж","спортсменка",IF('Техническая один зачет'!G55="М","спортсмен","не понятно кто"))</f>
        <v>спортсмен</v>
      </c>
      <c r="G43" s="452"/>
      <c r="H43" s="452" t="str">
        <f>'Техническая один зачет'!B55</f>
        <v>МСМК</v>
      </c>
      <c r="I43" s="1769" t="str">
        <f>'Техническая один зачет'!H55</f>
        <v>Фамилия_1 Имя Отчество</v>
      </c>
      <c r="J43" s="1770"/>
      <c r="K43" s="453"/>
    </row>
    <row r="44" spans="1:11" s="423" customFormat="1" ht="27" customHeight="1">
      <c r="A44" s="758">
        <v>36</v>
      </c>
      <c r="B44" s="454" t="str">
        <f>'Техническая один зачет'!C56</f>
        <v>Юноши</v>
      </c>
      <c r="C44" s="434"/>
      <c r="D44" s="455" t="str">
        <f>'Техническая один зачет'!D56</f>
        <v xml:space="preserve"> </v>
      </c>
      <c r="E44" s="1051">
        <f>'Техническая один зачет'!E56</f>
        <v>0</v>
      </c>
      <c r="F44" s="452" t="str">
        <f>IF('Техническая один зачет'!G56="Ж","спортсменка",IF('Техническая один зачет'!G56="М","спортсмен","не понятно кто"))</f>
        <v>спортсмен</v>
      </c>
      <c r="G44" s="452"/>
      <c r="H44" s="452" t="str">
        <f>'Техническая один зачет'!B56</f>
        <v>МС</v>
      </c>
      <c r="I44" s="1769" t="str">
        <f>'Техническая один зачет'!H56</f>
        <v>Фамилия_1 Имя Отчество</v>
      </c>
      <c r="J44" s="1770"/>
      <c r="K44" s="453"/>
    </row>
    <row r="45" spans="1:11" s="423" customFormat="1" ht="27" customHeight="1">
      <c r="A45" s="758">
        <v>37</v>
      </c>
      <c r="B45" s="454" t="str">
        <f>'Техническая один зачет'!C57</f>
        <v>Юноши</v>
      </c>
      <c r="C45" s="434"/>
      <c r="D45" s="455" t="str">
        <f>'Техническая один зачет'!D57</f>
        <v xml:space="preserve"> </v>
      </c>
      <c r="E45" s="1051">
        <f>'Техническая один зачет'!E57</f>
        <v>0</v>
      </c>
      <c r="F45" s="452" t="str">
        <f>IF('Техническая один зачет'!G57="Ж","спортсменка",IF('Техническая один зачет'!G57="М","спортсмен","не понятно кто"))</f>
        <v>спортсмен</v>
      </c>
      <c r="G45" s="452"/>
      <c r="H45" s="452" t="str">
        <f>'Техническая один зачет'!B57</f>
        <v>КМС</v>
      </c>
      <c r="I45" s="1769" t="str">
        <f>'Техническая один зачет'!H57</f>
        <v>Фамилия_1 Имя Отчество</v>
      </c>
      <c r="J45" s="1770"/>
      <c r="K45" s="453"/>
    </row>
    <row r="46" spans="1:11" s="423" customFormat="1" ht="27" customHeight="1">
      <c r="A46" s="758">
        <v>38</v>
      </c>
      <c r="B46" s="454" t="str">
        <f>'Техническая один зачет'!C58</f>
        <v>Юноши</v>
      </c>
      <c r="C46" s="434"/>
      <c r="D46" s="455" t="str">
        <f>'Техническая один зачет'!D58</f>
        <v xml:space="preserve"> </v>
      </c>
      <c r="E46" s="1051">
        <f>'Техническая один зачет'!E58</f>
        <v>0</v>
      </c>
      <c r="F46" s="452" t="str">
        <f>IF('Техническая один зачет'!G58="Ж","спортсменка",IF('Техническая один зачет'!G58="М","спортсмен","не понятно кто"))</f>
        <v>спортсмен</v>
      </c>
      <c r="G46" s="452"/>
      <c r="H46" s="452" t="str">
        <f>'Техническая один зачет'!B58</f>
        <v>КМС</v>
      </c>
      <c r="I46" s="1769" t="str">
        <f>'Техническая один зачет'!H58</f>
        <v>Фамилия_1 Имя Отчество</v>
      </c>
      <c r="J46" s="1770"/>
      <c r="K46" s="453"/>
    </row>
    <row r="47" spans="1:11" s="423" customFormat="1" ht="27" customHeight="1">
      <c r="A47" s="758">
        <v>39</v>
      </c>
      <c r="B47" s="454" t="str">
        <f>'Техническая один зачет'!C59</f>
        <v>Юноши</v>
      </c>
      <c r="C47" s="434"/>
      <c r="D47" s="455" t="str">
        <f>'Техническая один зачет'!D59</f>
        <v xml:space="preserve"> </v>
      </c>
      <c r="E47" s="1051">
        <f>'Техническая один зачет'!E59</f>
        <v>0</v>
      </c>
      <c r="F47" s="452" t="str">
        <f>IF('Техническая один зачет'!G59="Ж","спортсменка",IF('Техническая один зачет'!G59="М","спортсмен","не понятно кто"))</f>
        <v>спортсмен</v>
      </c>
      <c r="G47" s="452"/>
      <c r="H47" s="452" t="str">
        <f>'Техническая один зачет'!B59</f>
        <v>КМС</v>
      </c>
      <c r="I47" s="1769" t="str">
        <f>'Техническая один зачет'!H59</f>
        <v>Фамилия_1 Имя Отчество</v>
      </c>
      <c r="J47" s="1770"/>
      <c r="K47" s="453"/>
    </row>
    <row r="48" spans="1:11" s="423" customFormat="1" ht="27" customHeight="1">
      <c r="A48" s="758">
        <v>40</v>
      </c>
      <c r="B48" s="454" t="str">
        <f>'Техническая один зачет'!C60</f>
        <v>Юноши</v>
      </c>
      <c r="C48" s="434"/>
      <c r="D48" s="455" t="str">
        <f>'Техническая один зачет'!D60</f>
        <v xml:space="preserve"> </v>
      </c>
      <c r="E48" s="1051">
        <f>'Техническая один зачет'!E60</f>
        <v>0</v>
      </c>
      <c r="F48" s="452" t="str">
        <f>IF('Техническая один зачет'!G60="Ж","спортсменка",IF('Техническая один зачет'!G60="М","спортсмен","не понятно кто"))</f>
        <v>спортсмен</v>
      </c>
      <c r="G48" s="452"/>
      <c r="H48" s="452" t="str">
        <f>'Техническая один зачет'!B60</f>
        <v>КМС</v>
      </c>
      <c r="I48" s="1769" t="str">
        <f>'Техническая один зачет'!H60</f>
        <v>Фамилия_1 Имя Отчество</v>
      </c>
      <c r="J48" s="1770"/>
      <c r="K48" s="453"/>
    </row>
    <row r="49" spans="1:11" s="423" customFormat="1" ht="27" customHeight="1">
      <c r="A49" s="758">
        <v>41</v>
      </c>
      <c r="B49" s="454" t="str">
        <f>'Техническая один зачет'!C61</f>
        <v>Юноши</v>
      </c>
      <c r="C49" s="434"/>
      <c r="D49" s="455" t="str">
        <f>'Техническая один зачет'!D61</f>
        <v xml:space="preserve"> </v>
      </c>
      <c r="E49" s="1051">
        <f>'Техническая один зачет'!E61</f>
        <v>0</v>
      </c>
      <c r="F49" s="452" t="str">
        <f>IF('Техническая один зачет'!G61="Ж","спортсменка",IF('Техническая один зачет'!G61="М","спортсмен","не понятно кто"))</f>
        <v>спортсмен</v>
      </c>
      <c r="G49" s="452"/>
      <c r="H49" s="452" t="str">
        <f>'Техническая один зачет'!B61</f>
        <v>КМС</v>
      </c>
      <c r="I49" s="1769" t="str">
        <f>'Техническая один зачет'!H61</f>
        <v>Фамилия_1 Имя Отчество</v>
      </c>
      <c r="J49" s="1770"/>
      <c r="K49" s="453"/>
    </row>
    <row r="50" spans="1:11" s="423" customFormat="1" ht="27" customHeight="1">
      <c r="A50" s="758">
        <v>42</v>
      </c>
      <c r="B50" s="454" t="str">
        <f>'Техническая один зачет'!C62</f>
        <v>Юноши</v>
      </c>
      <c r="C50" s="434"/>
      <c r="D50" s="455" t="str">
        <f>'Техническая один зачет'!D62</f>
        <v xml:space="preserve"> </v>
      </c>
      <c r="E50" s="1051">
        <f>'Техническая один зачет'!E62</f>
        <v>0</v>
      </c>
      <c r="F50" s="452" t="str">
        <f>IF('Техническая один зачет'!G62="Ж","спортсменка",IF('Техническая один зачет'!G62="М","спортсмен","не понятно кто"))</f>
        <v>спортсмен</v>
      </c>
      <c r="G50" s="452"/>
      <c r="H50" s="452" t="str">
        <f>'Техническая один зачет'!B62</f>
        <v>КМС</v>
      </c>
      <c r="I50" s="1769" t="str">
        <f>'Техническая один зачет'!H62</f>
        <v>Фамилия_1 Имя Отчество</v>
      </c>
      <c r="J50" s="1770"/>
      <c r="K50" s="453"/>
    </row>
    <row r="51" spans="1:11" s="423" customFormat="1" ht="27" customHeight="1">
      <c r="A51" s="758">
        <v>43</v>
      </c>
      <c r="B51" s="454" t="str">
        <f>'Техническая один зачет'!C63</f>
        <v>Юноши</v>
      </c>
      <c r="C51" s="434"/>
      <c r="D51" s="455" t="str">
        <f>'Техническая один зачет'!D63</f>
        <v xml:space="preserve"> </v>
      </c>
      <c r="E51" s="1051">
        <f>'Техническая один зачет'!E63</f>
        <v>0</v>
      </c>
      <c r="F51" s="452" t="str">
        <f>IF('Техническая один зачет'!G63="Ж","спортсменка",IF('Техническая один зачет'!G63="М","спортсмен","не понятно кто"))</f>
        <v>спортсмен</v>
      </c>
      <c r="G51" s="452"/>
      <c r="H51" s="452" t="str">
        <f>'Техническая один зачет'!B63</f>
        <v>КМС</v>
      </c>
      <c r="I51" s="1769" t="str">
        <f>'Техническая один зачет'!H63</f>
        <v>Фамилия_1 Имя Отчество</v>
      </c>
      <c r="J51" s="1770"/>
      <c r="K51" s="453"/>
    </row>
    <row r="52" spans="1:11" s="423" customFormat="1" ht="27" customHeight="1">
      <c r="A52" s="758">
        <v>44</v>
      </c>
      <c r="B52" s="454" t="str">
        <f>'Техническая один зачет'!C64</f>
        <v>Юноши</v>
      </c>
      <c r="C52" s="434"/>
      <c r="D52" s="455" t="str">
        <f>'Техническая один зачет'!D64</f>
        <v xml:space="preserve"> </v>
      </c>
      <c r="E52" s="1051">
        <f>'Техническая один зачет'!E64</f>
        <v>0</v>
      </c>
      <c r="F52" s="452" t="str">
        <f>IF('Техническая один зачет'!G64="Ж","спортсменка",IF('Техническая один зачет'!G64="М","спортсмен","не понятно кто"))</f>
        <v>спортсмен</v>
      </c>
      <c r="G52" s="452"/>
      <c r="H52" s="452" t="str">
        <f>'Техническая один зачет'!B64</f>
        <v>КМС</v>
      </c>
      <c r="I52" s="1769" t="str">
        <f>'Техническая один зачет'!H64</f>
        <v>Фамилия_1 Имя Отчество</v>
      </c>
      <c r="J52" s="1770"/>
      <c r="K52" s="453"/>
    </row>
    <row r="53" spans="1:11" s="423" customFormat="1" ht="27" customHeight="1">
      <c r="A53" s="758">
        <v>45</v>
      </c>
      <c r="B53" s="454" t="str">
        <f>'Техническая один зачет'!C65</f>
        <v>Юноши</v>
      </c>
      <c r="C53" s="434"/>
      <c r="D53" s="455" t="str">
        <f>'Техническая один зачет'!D65</f>
        <v xml:space="preserve"> </v>
      </c>
      <c r="E53" s="1051">
        <f>'Техническая один зачет'!E65</f>
        <v>0</v>
      </c>
      <c r="F53" s="452" t="str">
        <f>IF('Техническая один зачет'!G65="Ж","спортсменка",IF('Техническая один зачет'!G65="М","спортсмен","не понятно кто"))</f>
        <v>спортсмен</v>
      </c>
      <c r="G53" s="452"/>
      <c r="H53" s="452" t="str">
        <f>'Техническая один зачет'!B65</f>
        <v>II юн</v>
      </c>
      <c r="I53" s="1769" t="str">
        <f>'Техническая один зачет'!H65</f>
        <v>Фамилия_1 Имя Отчество</v>
      </c>
      <c r="J53" s="1770"/>
      <c r="K53" s="453"/>
    </row>
    <row r="54" spans="1:11" s="423" customFormat="1" ht="27" customHeight="1">
      <c r="A54" s="758">
        <v>46</v>
      </c>
      <c r="B54" s="454" t="str">
        <f>'Техническая один зачет'!C66</f>
        <v>Юноши</v>
      </c>
      <c r="C54" s="434"/>
      <c r="D54" s="455" t="str">
        <f>'Техническая один зачет'!D66</f>
        <v xml:space="preserve"> </v>
      </c>
      <c r="E54" s="1051">
        <f>'Техническая один зачет'!E66</f>
        <v>0</v>
      </c>
      <c r="F54" s="452" t="str">
        <f>IF('Техническая один зачет'!G66="Ж","спортсменка",IF('Техническая один зачет'!G66="М","спортсмен","не понятно кто"))</f>
        <v>спортсмен</v>
      </c>
      <c r="G54" s="452"/>
      <c r="H54" s="452" t="str">
        <f>'Техническая один зачет'!B66</f>
        <v>III юн</v>
      </c>
      <c r="I54" s="1769" t="str">
        <f>'Техническая один зачет'!H66</f>
        <v>Фамилия_1 Имя Отчество</v>
      </c>
      <c r="J54" s="1770"/>
      <c r="K54" s="453"/>
    </row>
    <row r="55" spans="1:11" s="423" customFormat="1" ht="27" customHeight="1">
      <c r="A55" s="758">
        <v>47</v>
      </c>
      <c r="B55" s="454" t="str">
        <f>'Техническая один зачет'!C67</f>
        <v>Юноши</v>
      </c>
      <c r="C55" s="434"/>
      <c r="D55" s="455" t="str">
        <f>'Техническая один зачет'!D67</f>
        <v xml:space="preserve"> </v>
      </c>
      <c r="E55" s="1051">
        <f>'Техническая один зачет'!E67</f>
        <v>0</v>
      </c>
      <c r="F55" s="452" t="str">
        <f>IF('Техническая один зачет'!G67="Ж","спортсменка",IF('Техническая один зачет'!G67="М","спортсмен","не понятно кто"))</f>
        <v>спортсмен</v>
      </c>
      <c r="G55" s="452"/>
      <c r="H55" s="452" t="str">
        <f>'Техническая один зачет'!B67</f>
        <v>I юн</v>
      </c>
      <c r="I55" s="1769" t="str">
        <f>'Техническая один зачет'!H67</f>
        <v>Фамилия_1 Имя Отчество</v>
      </c>
      <c r="J55" s="1770"/>
      <c r="K55" s="453"/>
    </row>
    <row r="56" spans="1:11" s="423" customFormat="1" ht="27" customHeight="1">
      <c r="A56" s="758">
        <v>48</v>
      </c>
      <c r="B56" s="454" t="str">
        <f>'Техническая один зачет'!C68</f>
        <v>Юноши</v>
      </c>
      <c r="C56" s="434"/>
      <c r="D56" s="455" t="str">
        <f>'Техническая один зачет'!D68</f>
        <v xml:space="preserve"> </v>
      </c>
      <c r="E56" s="1051">
        <f>'Техническая один зачет'!E68</f>
        <v>0</v>
      </c>
      <c r="F56" s="452" t="str">
        <f>IF('Техническая один зачет'!G68="Ж","спортсменка",IF('Техническая один зачет'!G68="М","спортсмен","не понятно кто"))</f>
        <v>спортсмен</v>
      </c>
      <c r="G56" s="452"/>
      <c r="H56" s="452" t="str">
        <f>'Техническая один зачет'!B68</f>
        <v>III</v>
      </c>
      <c r="I56" s="1769" t="str">
        <f>'Техническая один зачет'!H68</f>
        <v>Фамилия_1 Имя Отчество</v>
      </c>
      <c r="J56" s="1770"/>
      <c r="K56" s="453"/>
    </row>
    <row r="57" spans="1:11" s="423" customFormat="1" ht="27" customHeight="1">
      <c r="A57" s="758">
        <v>49</v>
      </c>
      <c r="B57" s="454" t="str">
        <f>'Техническая один зачет'!C69</f>
        <v>Юноши</v>
      </c>
      <c r="C57" s="434"/>
      <c r="D57" s="455" t="str">
        <f>'Техническая один зачет'!D69</f>
        <v xml:space="preserve"> </v>
      </c>
      <c r="E57" s="1051">
        <f>'Техническая один зачет'!E69</f>
        <v>0</v>
      </c>
      <c r="F57" s="452" t="str">
        <f>IF('Техническая один зачет'!G69="Ж","спортсменка",IF('Техническая один зачет'!G69="М","спортсмен","не понятно кто"))</f>
        <v>спортсмен</v>
      </c>
      <c r="G57" s="452"/>
      <c r="H57" s="452" t="str">
        <f>'Техническая один зачет'!B69</f>
        <v>I юн</v>
      </c>
      <c r="I57" s="1769" t="str">
        <f>'Техническая один зачет'!H69</f>
        <v>Фамилия_1 Имя Отчество</v>
      </c>
      <c r="J57" s="1770"/>
      <c r="K57" s="453"/>
    </row>
    <row r="58" spans="1:11" s="423" customFormat="1" ht="27" customHeight="1">
      <c r="A58" s="758">
        <v>50</v>
      </c>
      <c r="B58" s="454" t="str">
        <f>'Техническая один зачет'!C70</f>
        <v>Юноши</v>
      </c>
      <c r="C58" s="434"/>
      <c r="D58" s="455" t="str">
        <f>'Техническая один зачет'!D70</f>
        <v xml:space="preserve"> </v>
      </c>
      <c r="E58" s="1051">
        <f>'Техническая один зачет'!E70</f>
        <v>0</v>
      </c>
      <c r="F58" s="452" t="str">
        <f>IF('Техническая один зачет'!G70="Ж","спортсменка",IF('Техническая один зачет'!G70="М","спортсмен","не понятно кто"))</f>
        <v>спортсмен</v>
      </c>
      <c r="G58" s="452"/>
      <c r="H58" s="452" t="str">
        <f>'Техническая один зачет'!B70</f>
        <v>II юн</v>
      </c>
      <c r="I58" s="1769" t="str">
        <f>'Техническая один зачет'!H70</f>
        <v>Фамилия_1 Имя Отчество</v>
      </c>
      <c r="J58" s="1770"/>
      <c r="K58" s="453"/>
    </row>
    <row r="59" spans="1:11" ht="15" customHeight="1">
      <c r="A59" s="422"/>
      <c r="B59" s="428"/>
      <c r="C59" s="428"/>
      <c r="D59" s="429"/>
      <c r="E59" s="422"/>
      <c r="F59" s="422"/>
      <c r="G59" s="422"/>
      <c r="H59" s="430"/>
      <c r="I59" s="430"/>
      <c r="J59" s="422"/>
      <c r="K59" s="429"/>
    </row>
    <row r="60" spans="1:11" s="423" customFormat="1" ht="24.75" customHeight="1">
      <c r="A60" s="431"/>
      <c r="C60" s="425" t="s">
        <v>340</v>
      </c>
      <c r="D60" s="432" t="str">
        <f>'Техническая один зачет'!E76</f>
        <v>Фамилия_1 Имя Отчество</v>
      </c>
      <c r="E60" s="433"/>
      <c r="F60" s="433"/>
      <c r="G60" s="425" t="s">
        <v>344</v>
      </c>
      <c r="H60" s="1771"/>
      <c r="I60" s="1771"/>
      <c r="J60" s="1771"/>
      <c r="K60" s="1771"/>
    </row>
    <row r="61" spans="1:11" s="423" customFormat="1" ht="24.75" customHeight="1">
      <c r="A61" s="422"/>
      <c r="B61" s="439"/>
      <c r="C61" s="439"/>
      <c r="D61" s="434" t="str">
        <f>'Техническая один зачет'!E77</f>
        <v>Фамилия_2 Имя Отчество</v>
      </c>
      <c r="E61" s="435"/>
      <c r="F61" s="435"/>
      <c r="G61" s="436"/>
      <c r="H61" s="1772"/>
      <c r="I61" s="1772"/>
      <c r="J61" s="1772"/>
      <c r="K61" s="1772"/>
    </row>
    <row r="62" spans="1:11" s="423" customFormat="1" ht="24.75" customHeight="1">
      <c r="A62" s="422"/>
      <c r="B62" s="439"/>
      <c r="C62" s="439"/>
      <c r="D62" s="434" t="str">
        <f>'Техническая один зачет'!E78</f>
        <v>Фамилия_3 Имя Отчество</v>
      </c>
      <c r="E62" s="435"/>
      <c r="F62" s="435"/>
      <c r="G62" s="436"/>
      <c r="H62" s="1772"/>
      <c r="I62" s="1772"/>
      <c r="J62" s="1772"/>
      <c r="K62" s="1772"/>
    </row>
    <row r="63" spans="1:11" s="423" customFormat="1" ht="21" customHeight="1">
      <c r="A63" s="436"/>
      <c r="B63" s="439"/>
      <c r="C63" s="439"/>
      <c r="D63" s="439"/>
      <c r="E63" s="436"/>
      <c r="F63" s="436"/>
      <c r="G63" s="436"/>
      <c r="H63" s="436"/>
      <c r="I63" s="436"/>
      <c r="J63" s="436"/>
      <c r="K63" s="437"/>
    </row>
    <row r="64" spans="1:11" s="423" customFormat="1" ht="17.25" customHeight="1">
      <c r="D64" s="447" t="s">
        <v>347</v>
      </c>
      <c r="E64" s="433"/>
      <c r="F64" s="433"/>
      <c r="G64" s="433"/>
      <c r="H64" s="1768" t="str">
        <f>'Техническая один зачет'!E76</f>
        <v>Фамилия_1 Имя Отчество</v>
      </c>
      <c r="I64" s="1768"/>
      <c r="J64" s="1768"/>
      <c r="K64" s="1768"/>
    </row>
    <row r="65" spans="1:11" s="466" customFormat="1" ht="12.75" customHeight="1">
      <c r="A65" s="465"/>
      <c r="B65" s="465"/>
      <c r="C65" s="465"/>
      <c r="F65" s="462" t="s">
        <v>120</v>
      </c>
      <c r="G65" s="464"/>
      <c r="H65" s="462"/>
      <c r="I65" s="462"/>
      <c r="J65" s="462" t="s">
        <v>121</v>
      </c>
      <c r="K65" s="467"/>
    </row>
    <row r="66" spans="1:11" s="445" customFormat="1" ht="21" customHeight="1">
      <c r="A66" s="444"/>
      <c r="B66" s="444"/>
      <c r="C66" s="444"/>
      <c r="F66" s="130"/>
      <c r="G66" s="448"/>
      <c r="H66" s="130"/>
      <c r="I66" s="130"/>
      <c r="J66" s="130"/>
      <c r="K66" s="446"/>
    </row>
    <row r="67" spans="1:11" s="423" customFormat="1" ht="18">
      <c r="A67" s="84" t="s">
        <v>986</v>
      </c>
      <c r="B67" s="84"/>
      <c r="C67" s="84"/>
      <c r="D67" s="761"/>
      <c r="E67" s="760"/>
      <c r="F67" s="84" t="s">
        <v>1056</v>
      </c>
      <c r="G67" s="447" t="s">
        <v>1027</v>
      </c>
      <c r="H67" s="461"/>
      <c r="I67" s="509"/>
      <c r="J67" s="1765"/>
      <c r="K67" s="1765"/>
    </row>
    <row r="68" spans="1:11" s="464" customFormat="1" ht="12.75">
      <c r="A68" s="463"/>
      <c r="B68" s="463"/>
      <c r="C68" s="463"/>
      <c r="E68" s="463"/>
      <c r="F68" s="462"/>
      <c r="I68" s="462" t="s">
        <v>120</v>
      </c>
      <c r="J68" s="462"/>
      <c r="K68" s="462" t="s">
        <v>121</v>
      </c>
    </row>
    <row r="70" spans="1:11" s="423" customFormat="1" ht="33.75" customHeight="1">
      <c r="A70" s="1766" t="s">
        <v>370</v>
      </c>
      <c r="B70" s="1767"/>
      <c r="C70" s="1767"/>
      <c r="D70" s="1767"/>
      <c r="E70" s="441"/>
      <c r="F70" s="441"/>
      <c r="G70" s="441"/>
      <c r="H70" s="441"/>
      <c r="I70" s="1765"/>
      <c r="J70" s="1765"/>
      <c r="K70" s="1765"/>
    </row>
    <row r="71" spans="1:11" s="466" customFormat="1" ht="12.75" customHeight="1">
      <c r="A71" s="465"/>
      <c r="B71" s="465"/>
      <c r="C71" s="465"/>
      <c r="F71" s="462" t="s">
        <v>120</v>
      </c>
      <c r="G71" s="464"/>
      <c r="H71" s="462"/>
      <c r="I71" s="462"/>
      <c r="J71" s="462" t="s">
        <v>121</v>
      </c>
      <c r="K71" s="467"/>
    </row>
    <row r="72" spans="1:11" s="423" customFormat="1" ht="12" customHeight="1">
      <c r="A72" s="438"/>
      <c r="B72" s="427"/>
      <c r="C72" s="427"/>
      <c r="D72" s="427"/>
      <c r="E72" s="427"/>
      <c r="F72" s="427"/>
      <c r="G72" s="427"/>
      <c r="H72" s="427"/>
      <c r="I72" s="427"/>
      <c r="J72" s="427"/>
      <c r="K72" s="427"/>
    </row>
    <row r="73" spans="1:11" s="423" customFormat="1" ht="33.75" customHeight="1">
      <c r="A73" s="1766" t="s">
        <v>350</v>
      </c>
      <c r="B73" s="1767"/>
      <c r="C73" s="1767"/>
      <c r="D73" s="1767"/>
      <c r="E73" s="441"/>
      <c r="F73" s="441"/>
      <c r="G73" s="441"/>
      <c r="H73" s="441"/>
      <c r="I73" s="1765"/>
      <c r="J73" s="1765"/>
      <c r="K73" s="1765"/>
    </row>
    <row r="74" spans="1:11" s="466" customFormat="1" ht="12.75" customHeight="1">
      <c r="A74" s="465"/>
      <c r="B74" s="465"/>
      <c r="C74" s="465"/>
      <c r="F74" s="462" t="s">
        <v>120</v>
      </c>
      <c r="G74" s="464"/>
      <c r="H74" s="462"/>
      <c r="I74" s="462"/>
      <c r="J74" s="462" t="s">
        <v>121</v>
      </c>
      <c r="K74" s="467"/>
    </row>
    <row r="75" spans="1:11" s="423" customFormat="1" ht="12" customHeight="1">
      <c r="A75" s="438"/>
      <c r="B75" s="438"/>
      <c r="C75" s="438"/>
      <c r="D75" s="427"/>
      <c r="E75" s="422"/>
      <c r="F75" s="422"/>
      <c r="G75" s="422"/>
      <c r="H75" s="427"/>
      <c r="I75" s="427"/>
      <c r="J75" s="422"/>
      <c r="K75" s="422"/>
    </row>
    <row r="76" spans="1:11" s="423" customFormat="1" ht="18">
      <c r="A76" s="440"/>
      <c r="B76" s="440"/>
      <c r="C76" s="440"/>
      <c r="D76" s="440"/>
      <c r="E76" s="440"/>
      <c r="F76" s="440"/>
      <c r="G76" s="440"/>
      <c r="H76" s="440"/>
      <c r="I76" s="440"/>
      <c r="J76" s="440"/>
      <c r="K76" s="440"/>
    </row>
  </sheetData>
  <mergeCells count="66">
    <mergeCell ref="I33:J33"/>
    <mergeCell ref="I34:J34"/>
    <mergeCell ref="H61:K61"/>
    <mergeCell ref="I55:J55"/>
    <mergeCell ref="I46:J46"/>
    <mergeCell ref="I56:J56"/>
    <mergeCell ref="I57:J57"/>
    <mergeCell ref="I58:J58"/>
    <mergeCell ref="I49:J49"/>
    <mergeCell ref="I50:J50"/>
    <mergeCell ref="I51:J51"/>
    <mergeCell ref="I54:J54"/>
    <mergeCell ref="I47:J47"/>
    <mergeCell ref="I48:J48"/>
    <mergeCell ref="H1:K2"/>
    <mergeCell ref="I8:J8"/>
    <mergeCell ref="I9:J9"/>
    <mergeCell ref="I10:J10"/>
    <mergeCell ref="I11:J11"/>
    <mergeCell ref="A3:K3"/>
    <mergeCell ref="D4:K4"/>
    <mergeCell ref="D6:I6"/>
    <mergeCell ref="B8:D8"/>
    <mergeCell ref="D5:K5"/>
    <mergeCell ref="A70:D70"/>
    <mergeCell ref="H62:K62"/>
    <mergeCell ref="I35:J35"/>
    <mergeCell ref="I36:J36"/>
    <mergeCell ref="I37:J37"/>
    <mergeCell ref="I38:J38"/>
    <mergeCell ref="I39:J39"/>
    <mergeCell ref="I40:J40"/>
    <mergeCell ref="I41:J41"/>
    <mergeCell ref="I42:J42"/>
    <mergeCell ref="I43:J43"/>
    <mergeCell ref="I44:J44"/>
    <mergeCell ref="I45:J45"/>
    <mergeCell ref="I52:J52"/>
    <mergeCell ref="I53:J53"/>
    <mergeCell ref="H60:K60"/>
    <mergeCell ref="A73:D73"/>
    <mergeCell ref="I12:J12"/>
    <mergeCell ref="I13:J13"/>
    <mergeCell ref="I14:J14"/>
    <mergeCell ref="I15:J15"/>
    <mergeCell ref="I16:J16"/>
    <mergeCell ref="I17:J17"/>
    <mergeCell ref="I18:J18"/>
    <mergeCell ref="I19:J19"/>
    <mergeCell ref="I20:J20"/>
    <mergeCell ref="I21:J21"/>
    <mergeCell ref="I70:K70"/>
    <mergeCell ref="I73:K73"/>
    <mergeCell ref="J67:K67"/>
    <mergeCell ref="H64:K64"/>
    <mergeCell ref="I25:J25"/>
    <mergeCell ref="I26:J26"/>
    <mergeCell ref="I22:J22"/>
    <mergeCell ref="I23:J23"/>
    <mergeCell ref="I24:J24"/>
    <mergeCell ref="I31:J31"/>
    <mergeCell ref="I32:J32"/>
    <mergeCell ref="I27:J27"/>
    <mergeCell ref="I28:J28"/>
    <mergeCell ref="I29:J29"/>
    <mergeCell ref="I30:J30"/>
  </mergeCells>
  <pageMargins left="0.31496062992125984" right="0.31496062992125984" top="0.55118110236220474" bottom="0.31496062992125984" header="0" footer="0.11811023622047245"/>
  <pageSetup paperSize="9" orientation="landscape" verticalDpi="300" r:id="rId1"/>
  <headerFooter differentFirst="1">
    <oddFooter>&amp;R&amp;"Times New Roman,курсив"&amp;8Стр. &amp;P из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Лист14">
    <tabColor theme="9" tint="0.39997558519241921"/>
  </sheetPr>
  <dimension ref="A1:AX104"/>
  <sheetViews>
    <sheetView topLeftCell="A19" workbookViewId="0">
      <selection activeCell="B15" sqref="B15:C15"/>
    </sheetView>
  </sheetViews>
  <sheetFormatPr defaultColWidth="9.14453125" defaultRowHeight="15"/>
  <cols>
    <col min="1" max="1" width="2.6875" style="232" customWidth="1"/>
    <col min="2" max="2" width="6.58984375" style="232" customWidth="1"/>
    <col min="3" max="3" width="19.90625" style="232" customWidth="1"/>
    <col min="4" max="4" width="11.296875" style="232" customWidth="1"/>
    <col min="5" max="5" width="6.3203125" style="232" customWidth="1"/>
    <col min="6" max="6" width="8.609375" style="232" customWidth="1"/>
    <col min="7" max="7" width="4.4375" style="232" customWidth="1"/>
    <col min="8" max="8" width="6.1875" style="232" customWidth="1"/>
    <col min="9" max="9" width="11.43359375" style="232" bestFit="1" customWidth="1"/>
    <col min="10" max="10" width="2.6875" style="232" customWidth="1"/>
    <col min="11" max="20" width="6.3203125" style="232" customWidth="1"/>
    <col min="21" max="21" width="6.3203125" style="232" hidden="1" customWidth="1"/>
    <col min="22" max="26" width="6.3203125" style="232" customWidth="1"/>
    <col min="27" max="27" width="2.41796875" style="232" customWidth="1"/>
    <col min="28" max="28" width="6.3203125" style="232" customWidth="1"/>
    <col min="29" max="29" width="2.41796875" style="232" customWidth="1"/>
    <col min="30" max="30" width="6.3203125" style="232" customWidth="1"/>
    <col min="31" max="31" width="2.41796875" style="232" customWidth="1"/>
    <col min="32" max="32" width="6.3203125" style="232" customWidth="1"/>
    <col min="33" max="33" width="2.41796875" style="232" customWidth="1"/>
    <col min="34" max="35" width="2.015625" style="232" bestFit="1" customWidth="1"/>
    <col min="36" max="36" width="6.1875" style="232" customWidth="1"/>
    <col min="37" max="37" width="2.015625" style="232" customWidth="1"/>
    <col min="38" max="53" width="1.07421875" style="232" customWidth="1"/>
    <col min="54" max="16384" width="9.14453125" style="232"/>
  </cols>
  <sheetData>
    <row r="1" spans="1:49" ht="40.5" customHeight="1" thickBot="1">
      <c r="A1" s="1808" t="s">
        <v>250</v>
      </c>
      <c r="B1" s="1809"/>
      <c r="C1" s="1809"/>
      <c r="D1" s="1809"/>
      <c r="E1" s="1809"/>
      <c r="F1" s="1809"/>
      <c r="G1" s="1809"/>
      <c r="H1" s="1809"/>
      <c r="I1" s="1809"/>
      <c r="J1" s="1809"/>
      <c r="K1" s="1809"/>
      <c r="L1" s="1809"/>
      <c r="M1" s="1809"/>
      <c r="N1" s="1810"/>
      <c r="O1" s="592" t="s">
        <v>543</v>
      </c>
      <c r="P1" s="1808" t="s">
        <v>250</v>
      </c>
      <c r="Q1" s="1809"/>
      <c r="R1" s="1809"/>
      <c r="S1" s="1809"/>
      <c r="T1" s="1809"/>
      <c r="U1" s="1809"/>
      <c r="V1" s="1809"/>
      <c r="W1" s="1809"/>
      <c r="X1" s="1809"/>
      <c r="Y1" s="1809"/>
      <c r="Z1" s="1809"/>
      <c r="AA1" s="1809"/>
      <c r="AB1" s="1809"/>
      <c r="AC1" s="1809"/>
      <c r="AD1" s="1809"/>
      <c r="AE1" s="1809"/>
      <c r="AF1" s="1809"/>
      <c r="AG1" s="1809"/>
      <c r="AH1" s="1810"/>
      <c r="AI1" s="102"/>
      <c r="AJ1" s="102"/>
      <c r="AK1" s="102"/>
      <c r="AL1" s="102"/>
      <c r="AM1" s="102"/>
      <c r="AN1" s="90"/>
      <c r="AO1" s="182"/>
      <c r="AP1" s="90"/>
      <c r="AQ1" s="182"/>
      <c r="AR1" s="90"/>
      <c r="AS1" s="182"/>
      <c r="AT1" s="59"/>
      <c r="AU1" s="3"/>
      <c r="AV1" s="3"/>
      <c r="AW1" s="3"/>
    </row>
    <row r="2" spans="1:49" ht="15.75" customHeight="1">
      <c r="A2" s="945" t="s">
        <v>241</v>
      </c>
      <c r="B2" s="946"/>
      <c r="C2" s="946"/>
      <c r="D2" s="946"/>
      <c r="E2" s="946"/>
      <c r="F2" s="946"/>
      <c r="G2" s="352"/>
      <c r="H2" s="352"/>
      <c r="I2" s="353" t="s">
        <v>245</v>
      </c>
      <c r="J2" s="354"/>
      <c r="K2" s="459" t="s">
        <v>242</v>
      </c>
      <c r="L2" s="588">
        <v>14</v>
      </c>
      <c r="M2" s="600" t="s">
        <v>243</v>
      </c>
      <c r="N2" s="355"/>
      <c r="O2" s="593">
        <v>3</v>
      </c>
      <c r="P2" s="1806" t="s">
        <v>251</v>
      </c>
      <c r="Q2" s="1806"/>
      <c r="R2" s="1806"/>
      <c r="S2" s="1807"/>
      <c r="T2" s="1736" t="s">
        <v>354</v>
      </c>
      <c r="U2" s="1804"/>
      <c r="V2" s="1804"/>
      <c r="W2" s="1805"/>
      <c r="X2" s="1742" t="s">
        <v>352</v>
      </c>
      <c r="Y2" s="1802"/>
      <c r="Z2" s="1802"/>
      <c r="AA2" s="1802"/>
      <c r="AB2" s="1802"/>
      <c r="AC2" s="1802"/>
      <c r="AD2" s="1802"/>
      <c r="AE2" s="1802"/>
      <c r="AF2" s="1802"/>
      <c r="AG2" s="1802"/>
      <c r="AH2" s="1803"/>
      <c r="AI2" s="89"/>
      <c r="AK2" s="89"/>
      <c r="AL2" s="89"/>
      <c r="AM2" s="316"/>
      <c r="AN2" s="319"/>
      <c r="AO2" s="131"/>
      <c r="AP2" s="319"/>
      <c r="AQ2" s="131"/>
      <c r="AR2" s="319"/>
      <c r="AS2" s="89"/>
      <c r="AT2" s="3"/>
      <c r="AU2" s="3"/>
      <c r="AV2" s="3"/>
    </row>
    <row r="3" spans="1:49" ht="15.75" customHeight="1" thickBot="1">
      <c r="A3" s="356"/>
      <c r="B3" s="299"/>
      <c r="C3" s="300"/>
      <c r="D3" s="299"/>
      <c r="E3" s="226"/>
      <c r="F3" s="944" t="s">
        <v>257</v>
      </c>
      <c r="G3" s="226"/>
      <c r="H3" s="243"/>
      <c r="I3" s="304" t="s">
        <v>246</v>
      </c>
      <c r="J3" s="297"/>
      <c r="K3" s="298" t="s">
        <v>242</v>
      </c>
      <c r="L3" s="589"/>
      <c r="M3" s="601" t="s">
        <v>243</v>
      </c>
      <c r="N3" s="225"/>
      <c r="O3" s="594">
        <v>2</v>
      </c>
      <c r="P3" s="906" t="s">
        <v>23</v>
      </c>
      <c r="Q3" s="321" t="s">
        <v>29</v>
      </c>
      <c r="R3" s="321" t="s">
        <v>14</v>
      </c>
      <c r="S3" s="324" t="s">
        <v>11</v>
      </c>
      <c r="T3" s="1739"/>
      <c r="U3" s="1740"/>
      <c r="V3" s="1740"/>
      <c r="W3" s="1741"/>
      <c r="X3" s="1745"/>
      <c r="Y3" s="1746"/>
      <c r="Z3" s="1746"/>
      <c r="AA3" s="1746"/>
      <c r="AB3" s="1746"/>
      <c r="AC3" s="1746"/>
      <c r="AD3" s="1746"/>
      <c r="AE3" s="1746"/>
      <c r="AF3" s="1746"/>
      <c r="AG3" s="1746"/>
      <c r="AH3" s="1747"/>
      <c r="AI3" s="89"/>
      <c r="AK3" s="89"/>
      <c r="AL3" s="89"/>
      <c r="AM3" s="316"/>
      <c r="AN3" s="319"/>
      <c r="AO3" s="131"/>
      <c r="AP3" s="319"/>
      <c r="AQ3" s="132"/>
      <c r="AR3" s="89"/>
      <c r="AS3" s="219"/>
      <c r="AT3" s="3"/>
      <c r="AU3" s="3"/>
      <c r="AV3" s="3"/>
    </row>
    <row r="4" spans="1:49" ht="15.75" customHeight="1">
      <c r="A4" s="356"/>
      <c r="B4" s="223"/>
      <c r="C4" s="300"/>
      <c r="D4" s="299"/>
      <c r="E4" s="226"/>
      <c r="F4" s="299"/>
      <c r="G4" s="243"/>
      <c r="H4" s="243"/>
      <c r="I4" s="304" t="s">
        <v>247</v>
      </c>
      <c r="J4" s="297"/>
      <c r="K4" s="298" t="s">
        <v>242</v>
      </c>
      <c r="L4" s="589"/>
      <c r="M4" s="601" t="s">
        <v>243</v>
      </c>
      <c r="N4" s="225"/>
      <c r="O4" s="594">
        <v>2</v>
      </c>
      <c r="P4" s="585" t="s">
        <v>25</v>
      </c>
      <c r="Q4" s="321" t="s">
        <v>1</v>
      </c>
      <c r="R4" s="321" t="s">
        <v>35</v>
      </c>
      <c r="S4" s="324" t="s">
        <v>15</v>
      </c>
      <c r="T4" s="1736" t="s">
        <v>353</v>
      </c>
      <c r="U4" s="1804"/>
      <c r="V4" s="1804"/>
      <c r="W4" s="1738"/>
      <c r="X4" s="1742" t="s">
        <v>1062</v>
      </c>
      <c r="Y4" s="1802"/>
      <c r="Z4" s="1802"/>
      <c r="AA4" s="1802"/>
      <c r="AB4" s="1802"/>
      <c r="AC4" s="1802"/>
      <c r="AD4" s="1802"/>
      <c r="AE4" s="1802"/>
      <c r="AF4" s="1802"/>
      <c r="AG4" s="1802"/>
      <c r="AH4" s="1744"/>
      <c r="AI4" s="89"/>
      <c r="AK4" s="89"/>
      <c r="AL4" s="89"/>
      <c r="AM4" s="316"/>
      <c r="AN4" s="319"/>
      <c r="AO4" s="131"/>
      <c r="AP4" s="319"/>
      <c r="AQ4" s="131"/>
      <c r="AR4" s="319"/>
      <c r="AS4" s="89"/>
      <c r="AT4" s="3"/>
      <c r="AU4" s="3"/>
      <c r="AV4" s="3"/>
    </row>
    <row r="5" spans="1:49" ht="16.5" customHeight="1" thickBot="1">
      <c r="A5" s="357"/>
      <c r="B5" s="302"/>
      <c r="C5" s="301" t="s">
        <v>240</v>
      </c>
      <c r="D5" s="303" t="s">
        <v>242</v>
      </c>
      <c r="E5" s="851">
        <f>IF(ISBLANK(L5),IF(ISBLANK(N5),IF(ISBLANK(L4),IF(ISBLANK(N4),IF(ISBLANK(L3),IF(ISBLANK(N3),IF(ISBLANK(L2),IF(ISBLANK(N2),0,0),L2),0),L3),0),L4),0),L5)</f>
        <v>14</v>
      </c>
      <c r="F5" s="303" t="s">
        <v>243</v>
      </c>
      <c r="G5" s="852">
        <f>IF(ISBLANK(N2),999,N2)</f>
        <v>999</v>
      </c>
      <c r="H5" s="850" t="s">
        <v>1061</v>
      </c>
      <c r="I5" s="358" t="s">
        <v>248</v>
      </c>
      <c r="J5" s="359"/>
      <c r="K5" s="360" t="s">
        <v>242</v>
      </c>
      <c r="L5" s="590"/>
      <c r="M5" s="602" t="s">
        <v>243</v>
      </c>
      <c r="N5" s="361"/>
      <c r="O5" s="595">
        <v>2</v>
      </c>
      <c r="P5" s="591" t="s">
        <v>27</v>
      </c>
      <c r="Q5" s="322" t="s">
        <v>13</v>
      </c>
      <c r="R5" s="322" t="s">
        <v>10</v>
      </c>
      <c r="S5" s="325"/>
      <c r="T5" s="1739"/>
      <c r="U5" s="1740"/>
      <c r="V5" s="1740"/>
      <c r="W5" s="1741"/>
      <c r="X5" s="1745"/>
      <c r="Y5" s="1746"/>
      <c r="Z5" s="1746"/>
      <c r="AA5" s="1746"/>
      <c r="AB5" s="1746"/>
      <c r="AC5" s="1746"/>
      <c r="AD5" s="1746"/>
      <c r="AE5" s="1746"/>
      <c r="AF5" s="1746"/>
      <c r="AG5" s="1746"/>
      <c r="AH5" s="1747"/>
      <c r="AI5" s="102"/>
      <c r="AK5" s="102"/>
      <c r="AL5" s="102"/>
      <c r="AM5" s="90"/>
      <c r="AN5" s="319"/>
      <c r="AO5" s="90"/>
      <c r="AP5" s="319"/>
      <c r="AQ5" s="90"/>
      <c r="AR5" s="319"/>
      <c r="AS5" s="59"/>
      <c r="AT5" s="3"/>
      <c r="AU5" s="3"/>
      <c r="AV5" s="3"/>
    </row>
    <row r="6" spans="1:49" ht="18">
      <c r="A6" s="13"/>
      <c r="B6" s="211" t="s">
        <v>252</v>
      </c>
      <c r="C6" s="2"/>
      <c r="D6" s="104"/>
      <c r="E6" s="4"/>
      <c r="F6" s="4"/>
      <c r="G6" s="2"/>
      <c r="H6" s="2"/>
      <c r="I6" s="2"/>
      <c r="J6" s="2"/>
      <c r="K6" s="2"/>
      <c r="L6" s="60"/>
      <c r="M6" s="60"/>
      <c r="N6" s="60"/>
      <c r="O6" s="60"/>
      <c r="P6" s="58"/>
      <c r="Q6" s="58"/>
      <c r="R6" s="58"/>
      <c r="S6" s="58"/>
      <c r="T6" s="59"/>
      <c r="U6" s="59"/>
      <c r="V6" s="59"/>
      <c r="W6" s="59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102"/>
      <c r="AJ6" s="102"/>
      <c r="AK6" s="102"/>
      <c r="AL6" s="102"/>
      <c r="AM6" s="102"/>
      <c r="AN6" s="90"/>
      <c r="AO6" s="182"/>
      <c r="AP6" s="90"/>
      <c r="AQ6" s="182"/>
      <c r="AR6" s="90"/>
      <c r="AS6" s="182"/>
      <c r="AT6" s="59"/>
      <c r="AU6" s="3"/>
      <c r="AV6" s="3"/>
      <c r="AW6" s="3"/>
    </row>
    <row r="7" spans="1:49" s="334" customFormat="1">
      <c r="A7" s="335"/>
      <c r="B7" s="336" t="s">
        <v>255</v>
      </c>
      <c r="C7" s="336"/>
      <c r="D7" s="337"/>
      <c r="E7" s="338"/>
      <c r="F7" s="338"/>
      <c r="G7" s="336"/>
      <c r="H7" s="336"/>
      <c r="I7" s="336"/>
      <c r="J7" s="336"/>
      <c r="K7" s="336"/>
      <c r="L7" s="339"/>
      <c r="M7" s="339"/>
      <c r="N7" s="339"/>
      <c r="O7" s="339"/>
      <c r="P7" s="340"/>
      <c r="Q7" s="340"/>
      <c r="R7" s="340"/>
      <c r="S7" s="340"/>
      <c r="T7" s="341"/>
      <c r="U7" s="341"/>
      <c r="V7" s="341"/>
      <c r="W7" s="341"/>
      <c r="X7" s="339"/>
      <c r="Y7" s="339"/>
      <c r="Z7" s="339"/>
      <c r="AA7" s="339"/>
      <c r="AB7" s="339"/>
      <c r="AC7" s="339"/>
      <c r="AD7" s="339"/>
      <c r="AE7" s="339"/>
      <c r="AF7" s="339"/>
      <c r="AG7" s="339"/>
      <c r="AH7" s="339"/>
      <c r="AI7" s="342"/>
      <c r="AJ7" s="342"/>
      <c r="AK7" s="330"/>
      <c r="AL7" s="330"/>
      <c r="AM7" s="330"/>
      <c r="AN7" s="331"/>
      <c r="AO7" s="332"/>
      <c r="AP7" s="331"/>
      <c r="AQ7" s="332"/>
      <c r="AR7" s="331"/>
      <c r="AS7" s="332"/>
      <c r="AT7" s="329"/>
      <c r="AU7" s="333"/>
      <c r="AV7" s="333"/>
      <c r="AW7" s="333"/>
    </row>
    <row r="8" spans="1:49" s="334" customFormat="1">
      <c r="A8" s="335"/>
      <c r="B8" s="336" t="s">
        <v>358</v>
      </c>
      <c r="C8" s="336"/>
      <c r="D8" s="337"/>
      <c r="E8" s="338"/>
      <c r="F8" s="338"/>
      <c r="G8" s="336"/>
      <c r="H8" s="336"/>
      <c r="I8" s="336"/>
      <c r="J8" s="336"/>
      <c r="K8" s="336"/>
      <c r="L8" s="339"/>
      <c r="M8" s="339"/>
      <c r="N8" s="339"/>
      <c r="O8" s="339"/>
      <c r="P8" s="340"/>
      <c r="Q8" s="340"/>
      <c r="R8" s="340"/>
      <c r="S8" s="340"/>
      <c r="T8" s="341"/>
      <c r="U8" s="341"/>
      <c r="V8" s="341"/>
      <c r="W8" s="341"/>
      <c r="X8" s="339"/>
      <c r="Y8" s="339"/>
      <c r="Z8" s="339"/>
      <c r="AA8" s="339"/>
      <c r="AB8" s="339"/>
      <c r="AC8" s="339"/>
      <c r="AD8" s="339"/>
      <c r="AE8" s="339"/>
      <c r="AF8" s="339"/>
      <c r="AG8" s="339"/>
      <c r="AH8" s="339"/>
      <c r="AI8" s="342"/>
      <c r="AJ8" s="342"/>
      <c r="AK8" s="330"/>
      <c r="AL8" s="330"/>
      <c r="AM8" s="330"/>
      <c r="AN8" s="331"/>
      <c r="AO8" s="332"/>
      <c r="AP8" s="331"/>
      <c r="AQ8" s="332"/>
      <c r="AR8" s="331"/>
      <c r="AS8" s="332"/>
      <c r="AT8" s="329"/>
      <c r="AU8" s="333"/>
      <c r="AV8" s="333"/>
      <c r="AW8" s="333"/>
    </row>
    <row r="9" spans="1:49" s="334" customFormat="1">
      <c r="A9" s="335"/>
      <c r="B9" s="1732" t="s">
        <v>1060</v>
      </c>
      <c r="C9" s="1732"/>
      <c r="D9" s="1732"/>
      <c r="E9" s="1732"/>
      <c r="F9" s="1732"/>
      <c r="G9" s="1732"/>
      <c r="H9" s="1732"/>
      <c r="I9" s="1732"/>
      <c r="J9" s="1732"/>
      <c r="K9" s="1732"/>
      <c r="L9" s="1732"/>
      <c r="M9" s="1732"/>
      <c r="N9" s="1732"/>
      <c r="O9" s="1732"/>
      <c r="P9" s="1732"/>
      <c r="Q9" s="1732"/>
      <c r="R9" s="1732"/>
      <c r="S9" s="1732"/>
      <c r="T9" s="1732"/>
      <c r="U9" s="1732"/>
      <c r="V9" s="1732"/>
      <c r="W9" s="1732"/>
      <c r="X9" s="1732"/>
      <c r="Y9" s="1732"/>
      <c r="Z9" s="1732"/>
      <c r="AA9" s="1732"/>
      <c r="AB9" s="1732"/>
      <c r="AC9" s="1732"/>
      <c r="AD9" s="1732"/>
      <c r="AE9" s="1732"/>
      <c r="AF9" s="1732"/>
      <c r="AG9" s="339"/>
      <c r="AH9" s="339"/>
      <c r="AI9" s="342"/>
      <c r="AJ9" s="342"/>
      <c r="AK9" s="330"/>
      <c r="AL9" s="330"/>
      <c r="AM9" s="330"/>
      <c r="AN9" s="331"/>
      <c r="AO9" s="332"/>
      <c r="AP9" s="331"/>
      <c r="AQ9" s="332"/>
      <c r="AR9" s="331"/>
      <c r="AS9" s="332"/>
      <c r="AT9" s="329"/>
      <c r="AU9" s="333"/>
      <c r="AV9" s="333"/>
      <c r="AW9" s="333"/>
    </row>
    <row r="10" spans="1:49" s="334" customFormat="1" ht="49.5" customHeight="1">
      <c r="A10" s="335"/>
      <c r="B10" s="1732"/>
      <c r="C10" s="1732"/>
      <c r="D10" s="1732"/>
      <c r="E10" s="1732"/>
      <c r="F10" s="1732"/>
      <c r="G10" s="1732"/>
      <c r="H10" s="1732"/>
      <c r="I10" s="1732"/>
      <c r="J10" s="1732"/>
      <c r="K10" s="1732"/>
      <c r="L10" s="1732"/>
      <c r="M10" s="1732"/>
      <c r="N10" s="1732"/>
      <c r="O10" s="1732"/>
      <c r="P10" s="1732"/>
      <c r="Q10" s="1732"/>
      <c r="R10" s="1732"/>
      <c r="S10" s="1732"/>
      <c r="T10" s="1732"/>
      <c r="U10" s="1732"/>
      <c r="V10" s="1732"/>
      <c r="W10" s="1732"/>
      <c r="X10" s="1732"/>
      <c r="Y10" s="1732"/>
      <c r="Z10" s="1732"/>
      <c r="AA10" s="1732"/>
      <c r="AB10" s="1732"/>
      <c r="AC10" s="1732"/>
      <c r="AD10" s="1732"/>
      <c r="AE10" s="1732"/>
      <c r="AF10" s="1732"/>
      <c r="AG10" s="339"/>
      <c r="AH10" s="339"/>
      <c r="AI10" s="342"/>
      <c r="AJ10" s="342"/>
      <c r="AK10" s="330"/>
      <c r="AL10" s="330"/>
      <c r="AM10" s="330"/>
      <c r="AN10" s="331"/>
      <c r="AO10" s="332"/>
      <c r="AP10" s="331"/>
      <c r="AQ10" s="332"/>
      <c r="AR10" s="331"/>
      <c r="AS10" s="332"/>
      <c r="AT10" s="329"/>
      <c r="AU10" s="333"/>
      <c r="AV10" s="333"/>
      <c r="AW10" s="333"/>
    </row>
    <row r="11" spans="1:49" s="334" customFormat="1">
      <c r="A11" s="335"/>
      <c r="B11" s="336" t="s">
        <v>254</v>
      </c>
      <c r="C11" s="336"/>
      <c r="D11" s="337"/>
      <c r="E11" s="338"/>
      <c r="F11" s="338"/>
      <c r="G11" s="336"/>
      <c r="H11" s="336"/>
      <c r="I11" s="336"/>
      <c r="J11" s="336"/>
      <c r="K11" s="336"/>
      <c r="L11" s="339"/>
      <c r="M11" s="339"/>
      <c r="N11" s="339"/>
      <c r="O11" s="339"/>
      <c r="P11" s="340"/>
      <c r="Q11" s="340"/>
      <c r="R11" s="340"/>
      <c r="S11" s="340"/>
      <c r="T11" s="341"/>
      <c r="U11" s="341"/>
      <c r="V11" s="341"/>
      <c r="W11" s="341"/>
      <c r="X11" s="339"/>
      <c r="Y11" s="339"/>
      <c r="Z11" s="339"/>
      <c r="AA11" s="339"/>
      <c r="AB11" s="339"/>
      <c r="AC11" s="339"/>
      <c r="AD11" s="339"/>
      <c r="AE11" s="339"/>
      <c r="AF11" s="339"/>
      <c r="AG11" s="339"/>
      <c r="AH11" s="339"/>
      <c r="AI11" s="342"/>
      <c r="AJ11" s="342"/>
      <c r="AK11" s="330"/>
      <c r="AL11" s="330"/>
      <c r="AM11" s="330"/>
      <c r="AN11" s="331"/>
      <c r="AO11" s="332"/>
      <c r="AP11" s="331"/>
      <c r="AQ11" s="332"/>
      <c r="AR11" s="331"/>
      <c r="AS11" s="332"/>
      <c r="AT11" s="329"/>
      <c r="AU11" s="333"/>
      <c r="AV11" s="333"/>
      <c r="AW11" s="333"/>
    </row>
    <row r="12" spans="1:49" s="334" customFormat="1">
      <c r="A12" s="335"/>
      <c r="B12" s="1732" t="s">
        <v>414</v>
      </c>
      <c r="C12" s="1732"/>
      <c r="D12" s="1732"/>
      <c r="E12" s="1732"/>
      <c r="F12" s="1732"/>
      <c r="G12" s="1732"/>
      <c r="H12" s="1732"/>
      <c r="I12" s="1732"/>
      <c r="J12" s="1732"/>
      <c r="K12" s="1732"/>
      <c r="L12" s="1732"/>
      <c r="M12" s="1732"/>
      <c r="N12" s="1732"/>
      <c r="O12" s="1732"/>
      <c r="P12" s="1732"/>
      <c r="Q12" s="1732"/>
      <c r="R12" s="1732"/>
      <c r="S12" s="1732"/>
      <c r="T12" s="1732"/>
      <c r="U12" s="1732"/>
      <c r="V12" s="1732"/>
      <c r="W12" s="1732"/>
      <c r="X12" s="1732"/>
      <c r="Y12" s="1732"/>
      <c r="Z12" s="1732"/>
      <c r="AA12" s="1732"/>
      <c r="AB12" s="1732"/>
      <c r="AC12" s="1732"/>
      <c r="AD12" s="1732"/>
      <c r="AE12" s="1732"/>
      <c r="AF12" s="1732"/>
      <c r="AG12" s="339"/>
      <c r="AH12" s="339"/>
      <c r="AI12" s="342"/>
      <c r="AJ12" s="342"/>
      <c r="AK12" s="330"/>
      <c r="AL12" s="330"/>
      <c r="AM12" s="330"/>
      <c r="AN12" s="331"/>
      <c r="AO12" s="332"/>
      <c r="AP12" s="331"/>
      <c r="AQ12" s="332"/>
      <c r="AR12" s="331"/>
      <c r="AS12" s="332"/>
      <c r="AT12" s="329"/>
      <c r="AU12" s="333"/>
      <c r="AV12" s="333"/>
      <c r="AW12" s="333"/>
    </row>
    <row r="13" spans="1:49" s="334" customFormat="1" ht="35.25" customHeight="1">
      <c r="A13" s="335"/>
      <c r="B13" s="1732"/>
      <c r="C13" s="1732"/>
      <c r="D13" s="1732"/>
      <c r="E13" s="1732"/>
      <c r="F13" s="1732"/>
      <c r="G13" s="1732"/>
      <c r="H13" s="1732"/>
      <c r="I13" s="1732"/>
      <c r="J13" s="1732"/>
      <c r="K13" s="1732"/>
      <c r="L13" s="1732"/>
      <c r="M13" s="1732"/>
      <c r="N13" s="1732"/>
      <c r="O13" s="1732"/>
      <c r="P13" s="1732"/>
      <c r="Q13" s="1732"/>
      <c r="R13" s="1732"/>
      <c r="S13" s="1732"/>
      <c r="T13" s="1732"/>
      <c r="U13" s="1732"/>
      <c r="V13" s="1732"/>
      <c r="W13" s="1732"/>
      <c r="X13" s="1732"/>
      <c r="Y13" s="1732"/>
      <c r="Z13" s="1732"/>
      <c r="AA13" s="1732"/>
      <c r="AB13" s="1732"/>
      <c r="AC13" s="1732"/>
      <c r="AD13" s="1732"/>
      <c r="AE13" s="1732"/>
      <c r="AF13" s="1732"/>
      <c r="AG13" s="339"/>
      <c r="AH13" s="339"/>
      <c r="AI13" s="342"/>
      <c r="AJ13" s="342"/>
      <c r="AK13" s="330"/>
      <c r="AL13" s="330"/>
      <c r="AM13" s="330"/>
      <c r="AN13" s="331"/>
      <c r="AO13" s="332"/>
      <c r="AP13" s="331"/>
      <c r="AQ13" s="332"/>
      <c r="AR13" s="331"/>
      <c r="AS13" s="332"/>
      <c r="AT13" s="329"/>
      <c r="AU13" s="333"/>
      <c r="AV13" s="333"/>
      <c r="AW13" s="333"/>
    </row>
    <row r="14" spans="1:49" ht="25.5">
      <c r="A14" s="1713" t="s">
        <v>105</v>
      </c>
      <c r="B14" s="1713"/>
      <c r="C14" s="1713"/>
      <c r="D14" s="1713"/>
      <c r="E14" s="1713"/>
      <c r="F14" s="1713"/>
      <c r="G14" s="1713"/>
      <c r="H14" s="1713"/>
      <c r="I14" s="1713"/>
      <c r="J14" s="1713"/>
      <c r="K14" s="1713"/>
      <c r="L14" s="1713"/>
      <c r="M14" s="1713"/>
      <c r="N14" s="1713"/>
      <c r="O14" s="1713"/>
      <c r="P14" s="1713"/>
      <c r="Q14" s="1713"/>
      <c r="R14" s="1713"/>
      <c r="S14" s="1713"/>
      <c r="T14" s="1713"/>
      <c r="U14" s="1713"/>
      <c r="V14" s="1713"/>
      <c r="W14" s="1713"/>
      <c r="X14" s="1713"/>
      <c r="Y14" s="1713"/>
      <c r="Z14" s="1713"/>
      <c r="AA14" s="1713"/>
      <c r="AB14" s="1713"/>
      <c r="AC14" s="1713"/>
      <c r="AD14" s="1713"/>
      <c r="AE14" s="1713"/>
      <c r="AF14" s="1713"/>
      <c r="AG14" s="1713"/>
      <c r="AH14" s="320"/>
      <c r="AI14" s="320"/>
      <c r="AJ14" s="320"/>
      <c r="AK14" s="320"/>
      <c r="AL14" s="320"/>
      <c r="AM14" s="320"/>
      <c r="AN14" s="320"/>
      <c r="AO14" s="320"/>
      <c r="AP14" s="320"/>
      <c r="AQ14" s="320"/>
      <c r="AR14" s="320"/>
      <c r="AS14" s="231"/>
      <c r="AT14" s="231"/>
      <c r="AU14" s="3"/>
      <c r="AV14" s="3"/>
      <c r="AW14" s="3"/>
    </row>
    <row r="15" spans="1:49" ht="15.75" customHeight="1">
      <c r="A15" s="1"/>
      <c r="B15" s="2"/>
      <c r="C15" s="233"/>
      <c r="D15" s="234" t="s">
        <v>106</v>
      </c>
      <c r="E15" s="235" t="s">
        <v>356</v>
      </c>
      <c r="F15" s="235"/>
      <c r="G15" s="233"/>
      <c r="H15" s="233"/>
      <c r="I15" s="233"/>
      <c r="J15" s="233"/>
      <c r="K15" s="233"/>
      <c r="L15" s="236"/>
      <c r="M15" s="236"/>
      <c r="N15" s="236"/>
      <c r="O15" s="236"/>
      <c r="P15" s="236"/>
      <c r="Q15" s="236"/>
      <c r="R15" s="236"/>
      <c r="S15" s="236"/>
      <c r="T15" s="236"/>
      <c r="U15" s="236"/>
      <c r="V15" s="236"/>
      <c r="W15" s="236"/>
      <c r="X15" s="60"/>
      <c r="Y15" s="60"/>
      <c r="Z15" s="60"/>
      <c r="AD15" s="60"/>
      <c r="AJ15" s="60"/>
      <c r="AL15" s="60"/>
      <c r="AN15" s="60"/>
      <c r="AT15" s="59"/>
      <c r="AU15" s="3"/>
      <c r="AV15" s="3"/>
      <c r="AW15" s="3"/>
    </row>
    <row r="16" spans="1:49" ht="15.75" customHeight="1">
      <c r="A16" s="1"/>
      <c r="B16" s="2"/>
      <c r="C16" s="233"/>
      <c r="D16" s="234" t="s">
        <v>107</v>
      </c>
      <c r="E16" s="849" t="s">
        <v>259</v>
      </c>
      <c r="F16" s="235"/>
      <c r="G16" s="233"/>
      <c r="H16" s="233"/>
      <c r="I16" s="233"/>
      <c r="J16" s="233"/>
      <c r="K16" s="233"/>
      <c r="L16" s="236"/>
      <c r="M16" s="236"/>
      <c r="N16" s="236"/>
      <c r="O16" s="236"/>
      <c r="P16" s="236"/>
      <c r="Q16" s="236"/>
      <c r="R16" s="236"/>
      <c r="S16" s="236"/>
      <c r="T16" s="236"/>
      <c r="U16" s="236"/>
      <c r="V16" s="236"/>
      <c r="W16" s="326"/>
      <c r="X16" s="60"/>
      <c r="Y16" s="60"/>
      <c r="Z16" s="60"/>
      <c r="AC16" s="192"/>
      <c r="AD16" s="60"/>
      <c r="AG16" s="192"/>
      <c r="AI16" s="60"/>
      <c r="AJ16" s="125"/>
      <c r="AK16" s="60"/>
      <c r="AL16" s="60"/>
      <c r="AN16" s="60"/>
      <c r="AT16" s="59"/>
      <c r="AU16" s="3"/>
      <c r="AV16" s="3"/>
      <c r="AW16" s="3"/>
    </row>
    <row r="17" spans="1:49" ht="15.75" customHeight="1">
      <c r="A17" s="1"/>
      <c r="B17" s="85"/>
      <c r="C17" s="85"/>
      <c r="D17" s="85"/>
      <c r="F17" s="86" t="s">
        <v>108</v>
      </c>
      <c r="G17" s="238" t="s">
        <v>355</v>
      </c>
      <c r="H17" s="87"/>
      <c r="I17" s="87"/>
      <c r="J17" s="87"/>
      <c r="K17" s="87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9"/>
      <c r="AI17" s="89"/>
      <c r="AJ17" s="89"/>
      <c r="AK17" s="89"/>
      <c r="AL17" s="89"/>
      <c r="AM17" s="89"/>
      <c r="AN17" s="316"/>
      <c r="AO17" s="317"/>
      <c r="AP17" s="318"/>
      <c r="AQ17" s="318"/>
      <c r="AR17" s="318"/>
      <c r="AS17" s="318"/>
      <c r="AT17" s="89"/>
      <c r="AU17" s="3"/>
      <c r="AV17" s="3"/>
      <c r="AW17" s="3"/>
    </row>
    <row r="18" spans="1:49" ht="5.25" customHeight="1" thickBot="1">
      <c r="A18" s="1"/>
      <c r="B18" s="85"/>
      <c r="C18" s="85"/>
      <c r="D18" s="85"/>
      <c r="E18" s="86"/>
      <c r="F18" s="105"/>
      <c r="G18" s="85"/>
      <c r="H18" s="85"/>
      <c r="I18" s="87"/>
      <c r="J18" s="87"/>
      <c r="K18" s="85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316"/>
      <c r="AO18" s="317"/>
      <c r="AP18" s="318"/>
      <c r="AQ18" s="318"/>
      <c r="AR18" s="318"/>
      <c r="AS18" s="318"/>
      <c r="AT18" s="89"/>
      <c r="AU18" s="3"/>
      <c r="AV18" s="3"/>
      <c r="AW18" s="3"/>
    </row>
    <row r="19" spans="1:49" ht="26.25" customHeight="1" thickBot="1">
      <c r="A19" s="1714" t="s">
        <v>0</v>
      </c>
      <c r="B19" s="1718" t="s">
        <v>82</v>
      </c>
      <c r="C19" s="1716" t="s">
        <v>9</v>
      </c>
      <c r="D19" s="1716"/>
      <c r="E19" s="1718" t="s">
        <v>230</v>
      </c>
      <c r="F19" s="1800" t="s">
        <v>6</v>
      </c>
      <c r="G19" s="1716" t="s">
        <v>83</v>
      </c>
      <c r="H19" s="1797" t="s">
        <v>244</v>
      </c>
      <c r="I19" s="1724" t="s">
        <v>7</v>
      </c>
      <c r="J19" s="1728" t="s">
        <v>249</v>
      </c>
      <c r="K19" s="1711" t="s">
        <v>84</v>
      </c>
      <c r="L19" s="1712"/>
      <c r="M19" s="1711" t="s">
        <v>85</v>
      </c>
      <c r="N19" s="1712"/>
      <c r="O19" s="1712"/>
      <c r="P19" s="1712"/>
      <c r="Q19" s="1712"/>
      <c r="R19" s="1782"/>
      <c r="S19" s="1712" t="s">
        <v>86</v>
      </c>
      <c r="T19" s="1712"/>
      <c r="U19" s="1712"/>
      <c r="V19" s="1711" t="s">
        <v>87</v>
      </c>
      <c r="W19" s="1712"/>
      <c r="X19" s="1712"/>
      <c r="Y19" s="777"/>
      <c r="Z19" s="1730" t="s">
        <v>88</v>
      </c>
      <c r="AA19" s="1785"/>
      <c r="AB19" s="1785"/>
      <c r="AC19" s="1785"/>
      <c r="AD19" s="1785"/>
      <c r="AE19" s="1785"/>
      <c r="AF19" s="1785"/>
      <c r="AG19" s="1731"/>
      <c r="AH19" s="91"/>
    </row>
    <row r="20" spans="1:49" ht="22.5" customHeight="1" thickBot="1">
      <c r="A20" s="1812"/>
      <c r="B20" s="1813"/>
      <c r="C20" s="1796"/>
      <c r="D20" s="1796"/>
      <c r="E20" s="1719"/>
      <c r="F20" s="1801"/>
      <c r="G20" s="1796"/>
      <c r="H20" s="1798"/>
      <c r="I20" s="1799"/>
      <c r="J20" s="1811"/>
      <c r="K20" s="471" t="s">
        <v>89</v>
      </c>
      <c r="L20" s="472" t="s">
        <v>90</v>
      </c>
      <c r="M20" s="471" t="s">
        <v>90</v>
      </c>
      <c r="N20" s="473" t="s">
        <v>91</v>
      </c>
      <c r="O20" s="473" t="s">
        <v>92</v>
      </c>
      <c r="P20" s="473" t="s">
        <v>93</v>
      </c>
      <c r="Q20" s="473" t="s">
        <v>94</v>
      </c>
      <c r="R20" s="474" t="s">
        <v>95</v>
      </c>
      <c r="S20" s="475" t="s">
        <v>91</v>
      </c>
      <c r="T20" s="476" t="s">
        <v>93</v>
      </c>
      <c r="U20" s="477" t="s">
        <v>94</v>
      </c>
      <c r="V20" s="478" t="s">
        <v>90</v>
      </c>
      <c r="W20" s="476" t="s">
        <v>91</v>
      </c>
      <c r="X20" s="477" t="s">
        <v>92</v>
      </c>
      <c r="Y20" s="846" t="s">
        <v>93</v>
      </c>
      <c r="Z20" s="848" t="s">
        <v>1058</v>
      </c>
      <c r="AA20" s="479" t="s">
        <v>338</v>
      </c>
      <c r="AB20" s="480" t="s">
        <v>96</v>
      </c>
      <c r="AC20" s="481" t="s">
        <v>338</v>
      </c>
      <c r="AD20" s="848" t="s">
        <v>1059</v>
      </c>
      <c r="AE20" s="479" t="s">
        <v>338</v>
      </c>
      <c r="AF20" s="480" t="s">
        <v>97</v>
      </c>
      <c r="AG20" s="481" t="s">
        <v>338</v>
      </c>
      <c r="AH20" s="56"/>
      <c r="AJ20" s="12"/>
    </row>
    <row r="21" spans="1:49" ht="12" customHeight="1">
      <c r="A21" s="92">
        <f t="shared" ref="A21:A70" si="0">A20+1</f>
        <v>1</v>
      </c>
      <c r="B21" s="365" t="s">
        <v>27</v>
      </c>
      <c r="C21" s="1056" t="s">
        <v>161</v>
      </c>
      <c r="D21" s="1060"/>
      <c r="E21" s="1053">
        <v>38019</v>
      </c>
      <c r="F21" s="63" t="str">
        <f t="shared" ref="F21:F70" si="1">$E$16</f>
        <v>Сокращенное Название</v>
      </c>
      <c r="G21" s="246" t="s">
        <v>325</v>
      </c>
      <c r="H21" s="246" t="str">
        <f t="shared" ref="H21:H52" ca="1" si="2">IF(ISNUMBER(E21),IF(ISBLANK($L$5),IF(ISBLANK($N$5),IF(ISBLANK($L$4),IF(ISBLANK($N$4),IF(ISBLANK($L$3),IF(ISBLANK($N$3),IF(ISBLANK($L$2),IF(ISBLANK($N$2),1,IF(YEAR(TODAY())-$N$2&lt;=E21,1,"нед-н")),IF(ISBLANK($N$2),IF(YEAR(TODAY())-$L$2&gt;=E21,1,"нед-н"),IF(YEAR(TODAY())-$N$2&lt;=E21,IF(YEAR(TODAY())-$L$2&gt;=E21,1,"нед-н"),"нед-н"))),IF(YEAR(TODAY())-$N$3&lt;=E21,2,IF(ISBLANK($N$2),IF(YEAR(TODAY())-$L$2&gt;=E21,1,"нед-н"),IF(YEAR(TODAY())-$N$2&lt;=E21,IF(YEAR(TODAY())-$L$2&gt;=E21,1,"нед-н"),"нед-н")))),IF(YEAR(TODAY())-$N$3&lt;=E21,IF(YEAR(TODAY())-$L$3&gt;=E21,2,"нед-н"),IF(ISBLANK($N$2),IF(YEAR(TODAY())-$L$2&gt;=E21,1,"нед-н"),IF(YEAR(TODAY())-$N$2&lt;=E21,IF(YEAR(TODAY())-$L$2&gt;=E21,1,"нед-н"),"нед-н")))),IF(YEAR(TODAY())-$N$4&lt;=E21,3,IF(YEAR(TODAY())-$N$3&lt;=E21,IF(YEAR(TODAY())-$L$3&gt;=E21,2,"нед-н"),IF(ISBLANK($N$2),IF(YEAR(TODAY())-$L$2&gt;=E21,1,"нед-н"),IF(YEAR(TODAY())-$N$2&lt;=E21,IF(YEAR(TODAY())-$L$2&gt;=E21,1,"нед-н"),"нед-н"))))),IF(YEAR(TODAY())-$N$4&lt;=E21,IF(YEAR(TODAY())-$L$4&gt;=E21,3,"нед-н"),IF(YEAR(TODAY())-$N$3&lt;=E21,IF(YEAR(TODAY())-$L$3&gt;=E21,2,"нед-н"),IF(ISBLANK($N$2),IF(YEAR(TODAY())-$L$2&gt;=E21,1,"нед-н"),IF(YEAR(TODAY())-$N$2&lt;=E21,IF(YEAR(TODAY())-$L$2&gt;=E21,1,"нед-н"),"нед-н"))))),IF(YEAR(TODAY())-$N$5&lt;=E21,4,IF(YEAR(TODAY())-$N$4&lt;=E21,IF(YEAR(TODAY())-$L$4&gt;=E21,3,"нед-н"),IF(YEAR(TODAY())-$N$3&lt;=E21,IF(YEAR(TODAY())-$L$3&gt;=E21,2,"нед-н"),IF(ISBLANK($N$2),IF(YEAR(TODAY())-$L$2&gt;=E21,1,"нед-н"),IF(YEAR(TODAY())-$N$2&lt;=E21,IF(YEAR(TODAY())-$L$2&gt;=E21,1,"нед-н"),"нед-н")))))),IF(YEAR(TODAY())-$N$5&lt;=E21,IF(YEAR(TODAY())-$L$5&gt;=E21,4,"нед-н"),IF(YEAR(TODAY())-$N$4&lt;=E21,IF(YEAR(TODAY())-$L$4&gt;=E21,3,"нед-н"),IF(YEAR(TODAY())-$N$3&lt;=E21,IF(YEAR(TODAY())-$L$3&gt;=E21,2,"нед-н"),IF(ISBLANK($N$2),IF(YEAR(TODAY())-$L$2&gt;=E21,1,"нед-н"),IF(YEAR(TODAY())-$N$2&lt;=E21,IF(YEAR(TODAY())-$L$2&gt;=E21,1,"нед-н"),"нед-н")))))),"г.р.???")</f>
        <v>нед-н</v>
      </c>
      <c r="I21" s="371" t="str">
        <f>E75</f>
        <v>Фамилия_1 Имя Отчество</v>
      </c>
      <c r="J21" s="375">
        <f>COUNTA(K21:X21)</f>
        <v>0</v>
      </c>
      <c r="K21" s="248"/>
      <c r="L21" s="253"/>
      <c r="M21" s="248"/>
      <c r="N21" s="249"/>
      <c r="O21" s="249"/>
      <c r="P21" s="249"/>
      <c r="Q21" s="249"/>
      <c r="R21" s="250"/>
      <c r="S21" s="306"/>
      <c r="T21" s="64"/>
      <c r="U21" s="252"/>
      <c r="V21" s="248"/>
      <c r="W21" s="249"/>
      <c r="X21" s="185"/>
      <c r="Y21" s="250"/>
      <c r="Z21" s="248"/>
      <c r="AA21" s="190"/>
      <c r="AB21" s="251"/>
      <c r="AC21" s="190"/>
      <c r="AD21" s="248"/>
      <c r="AE21" s="190"/>
      <c r="AF21" s="251"/>
      <c r="AG21" s="190"/>
      <c r="AH21" s="56"/>
      <c r="AJ21" s="257" t="s">
        <v>23</v>
      </c>
      <c r="AK21" s="254"/>
    </row>
    <row r="22" spans="1:49" ht="12" customHeight="1">
      <c r="A22" s="94">
        <f t="shared" si="0"/>
        <v>2</v>
      </c>
      <c r="B22" s="257" t="s">
        <v>29</v>
      </c>
      <c r="C22" s="1057" t="s">
        <v>161</v>
      </c>
      <c r="D22" s="1061" t="s">
        <v>433</v>
      </c>
      <c r="E22" s="1052"/>
      <c r="F22" s="258" t="str">
        <f t="shared" si="1"/>
        <v>Сокращенное Название</v>
      </c>
      <c r="G22" s="259" t="s">
        <v>325</v>
      </c>
      <c r="H22" s="259" t="str">
        <f t="shared" ca="1" si="2"/>
        <v>г.р.???</v>
      </c>
      <c r="I22" s="372" t="str">
        <f>I21</f>
        <v>Фамилия_1 Имя Отчество</v>
      </c>
      <c r="J22" s="369">
        <f t="shared" ref="J22:J69" si="3">COUNTA(K22:X22)</f>
        <v>0</v>
      </c>
      <c r="K22" s="261"/>
      <c r="L22" s="268"/>
      <c r="M22" s="261"/>
      <c r="N22" s="262"/>
      <c r="O22" s="262"/>
      <c r="P22" s="262"/>
      <c r="Q22" s="262"/>
      <c r="R22" s="266"/>
      <c r="S22" s="307"/>
      <c r="T22" s="65"/>
      <c r="U22" s="267"/>
      <c r="V22" s="261"/>
      <c r="W22" s="262"/>
      <c r="X22" s="186"/>
      <c r="Y22" s="263"/>
      <c r="Z22" s="261"/>
      <c r="AA22" s="188"/>
      <c r="AB22" s="264"/>
      <c r="AC22" s="188"/>
      <c r="AD22" s="261"/>
      <c r="AE22" s="188"/>
      <c r="AF22" s="264"/>
      <c r="AG22" s="188"/>
      <c r="AH22" s="56"/>
      <c r="AJ22" s="257" t="s">
        <v>25</v>
      </c>
      <c r="AK22" s="254"/>
    </row>
    <row r="23" spans="1:49" ht="12" customHeight="1">
      <c r="A23" s="94">
        <f t="shared" si="0"/>
        <v>3</v>
      </c>
      <c r="B23" s="257" t="s">
        <v>1</v>
      </c>
      <c r="C23" s="1057" t="s">
        <v>161</v>
      </c>
      <c r="D23" s="1061" t="s">
        <v>433</v>
      </c>
      <c r="E23" s="1052"/>
      <c r="F23" s="258" t="str">
        <f t="shared" si="1"/>
        <v>Сокращенное Название</v>
      </c>
      <c r="G23" s="259" t="s">
        <v>325</v>
      </c>
      <c r="H23" s="259" t="str">
        <f t="shared" ca="1" si="2"/>
        <v>г.р.???</v>
      </c>
      <c r="I23" s="372" t="str">
        <f t="shared" ref="I23:I70" si="4">I22</f>
        <v>Фамилия_1 Имя Отчество</v>
      </c>
      <c r="J23" s="369">
        <f t="shared" si="3"/>
        <v>0</v>
      </c>
      <c r="K23" s="261"/>
      <c r="L23" s="268"/>
      <c r="M23" s="261"/>
      <c r="N23" s="262"/>
      <c r="O23" s="262"/>
      <c r="P23" s="262"/>
      <c r="Q23" s="262"/>
      <c r="R23" s="266"/>
      <c r="S23" s="307"/>
      <c r="T23" s="65"/>
      <c r="U23" s="267"/>
      <c r="V23" s="261"/>
      <c r="W23" s="262"/>
      <c r="X23" s="186"/>
      <c r="Y23" s="263"/>
      <c r="Z23" s="261"/>
      <c r="AA23" s="188"/>
      <c r="AB23" s="264"/>
      <c r="AC23" s="188"/>
      <c r="AD23" s="261"/>
      <c r="AE23" s="188"/>
      <c r="AF23" s="264"/>
      <c r="AG23" s="188"/>
      <c r="AH23" s="56"/>
      <c r="AJ23" s="257" t="s">
        <v>27</v>
      </c>
      <c r="AK23" s="254"/>
    </row>
    <row r="24" spans="1:49" ht="12" customHeight="1">
      <c r="A24" s="94">
        <f t="shared" si="0"/>
        <v>4</v>
      </c>
      <c r="B24" s="257" t="s">
        <v>13</v>
      </c>
      <c r="C24" s="1057" t="s">
        <v>161</v>
      </c>
      <c r="D24" s="1061" t="s">
        <v>433</v>
      </c>
      <c r="E24" s="1052"/>
      <c r="F24" s="258" t="str">
        <f t="shared" si="1"/>
        <v>Сокращенное Название</v>
      </c>
      <c r="G24" s="259" t="s">
        <v>325</v>
      </c>
      <c r="H24" s="259" t="str">
        <f t="shared" ca="1" si="2"/>
        <v>г.р.???</v>
      </c>
      <c r="I24" s="372" t="str">
        <f t="shared" si="4"/>
        <v>Фамилия_1 Имя Отчество</v>
      </c>
      <c r="J24" s="369">
        <f t="shared" si="3"/>
        <v>0</v>
      </c>
      <c r="K24" s="261"/>
      <c r="L24" s="268"/>
      <c r="M24" s="261"/>
      <c r="N24" s="262"/>
      <c r="O24" s="262"/>
      <c r="P24" s="262"/>
      <c r="Q24" s="262"/>
      <c r="R24" s="266"/>
      <c r="S24" s="307"/>
      <c r="T24" s="65"/>
      <c r="U24" s="267"/>
      <c r="V24" s="261"/>
      <c r="W24" s="262"/>
      <c r="X24" s="186"/>
      <c r="Y24" s="263"/>
      <c r="Z24" s="261"/>
      <c r="AA24" s="188"/>
      <c r="AB24" s="264"/>
      <c r="AC24" s="188"/>
      <c r="AD24" s="261"/>
      <c r="AE24" s="188"/>
      <c r="AF24" s="264"/>
      <c r="AG24" s="188"/>
      <c r="AH24" s="56"/>
      <c r="AJ24" s="257" t="s">
        <v>29</v>
      </c>
      <c r="AK24" s="254"/>
    </row>
    <row r="25" spans="1:49" ht="12" customHeight="1">
      <c r="A25" s="94">
        <f t="shared" si="0"/>
        <v>5</v>
      </c>
      <c r="B25" s="257" t="s">
        <v>14</v>
      </c>
      <c r="C25" s="1057" t="s">
        <v>161</v>
      </c>
      <c r="D25" s="1061" t="s">
        <v>433</v>
      </c>
      <c r="E25" s="1052"/>
      <c r="F25" s="258" t="str">
        <f t="shared" si="1"/>
        <v>Сокращенное Название</v>
      </c>
      <c r="G25" s="259" t="s">
        <v>325</v>
      </c>
      <c r="H25" s="259" t="str">
        <f t="shared" ca="1" si="2"/>
        <v>г.р.???</v>
      </c>
      <c r="I25" s="372" t="str">
        <f t="shared" si="4"/>
        <v>Фамилия_1 Имя Отчество</v>
      </c>
      <c r="J25" s="369">
        <f t="shared" si="3"/>
        <v>0</v>
      </c>
      <c r="K25" s="261"/>
      <c r="L25" s="268"/>
      <c r="M25" s="261"/>
      <c r="N25" s="262"/>
      <c r="O25" s="262"/>
      <c r="P25" s="262"/>
      <c r="Q25" s="262"/>
      <c r="R25" s="266"/>
      <c r="S25" s="307"/>
      <c r="T25" s="65"/>
      <c r="U25" s="267"/>
      <c r="V25" s="261"/>
      <c r="W25" s="262"/>
      <c r="X25" s="186"/>
      <c r="Y25" s="263"/>
      <c r="Z25" s="261"/>
      <c r="AA25" s="188"/>
      <c r="AB25" s="264"/>
      <c r="AC25" s="188"/>
      <c r="AD25" s="261"/>
      <c r="AE25" s="188"/>
      <c r="AF25" s="264"/>
      <c r="AG25" s="188"/>
      <c r="AH25" s="56"/>
      <c r="AJ25" s="257" t="s">
        <v>1</v>
      </c>
      <c r="AK25" s="254"/>
    </row>
    <row r="26" spans="1:49" ht="12" customHeight="1">
      <c r="A26" s="94">
        <f t="shared" si="0"/>
        <v>6</v>
      </c>
      <c r="B26" s="66" t="s">
        <v>35</v>
      </c>
      <c r="C26" s="1057" t="s">
        <v>161</v>
      </c>
      <c r="D26" s="1061" t="s">
        <v>433</v>
      </c>
      <c r="E26" s="1052"/>
      <c r="F26" s="258" t="str">
        <f t="shared" si="1"/>
        <v>Сокращенное Название</v>
      </c>
      <c r="G26" s="259" t="s">
        <v>325</v>
      </c>
      <c r="H26" s="259" t="str">
        <f t="shared" ca="1" si="2"/>
        <v>г.р.???</v>
      </c>
      <c r="I26" s="372" t="str">
        <f t="shared" si="4"/>
        <v>Фамилия_1 Имя Отчество</v>
      </c>
      <c r="J26" s="369">
        <f t="shared" si="3"/>
        <v>0</v>
      </c>
      <c r="K26" s="261"/>
      <c r="L26" s="268"/>
      <c r="M26" s="261"/>
      <c r="N26" s="262"/>
      <c r="O26" s="262"/>
      <c r="P26" s="262"/>
      <c r="Q26" s="262"/>
      <c r="R26" s="266"/>
      <c r="S26" s="307"/>
      <c r="T26" s="65"/>
      <c r="U26" s="267"/>
      <c r="V26" s="261"/>
      <c r="W26" s="262"/>
      <c r="X26" s="186"/>
      <c r="Y26" s="263"/>
      <c r="Z26" s="261"/>
      <c r="AA26" s="188"/>
      <c r="AB26" s="264"/>
      <c r="AC26" s="188"/>
      <c r="AD26" s="261"/>
      <c r="AE26" s="188"/>
      <c r="AF26" s="264"/>
      <c r="AG26" s="188"/>
      <c r="AH26" s="56"/>
      <c r="AJ26" s="257" t="s">
        <v>13</v>
      </c>
      <c r="AK26" s="254"/>
    </row>
    <row r="27" spans="1:49" ht="12" customHeight="1">
      <c r="A27" s="94">
        <f t="shared" si="0"/>
        <v>7</v>
      </c>
      <c r="B27" s="66" t="s">
        <v>10</v>
      </c>
      <c r="C27" s="1057" t="s">
        <v>161</v>
      </c>
      <c r="D27" s="1061" t="s">
        <v>433</v>
      </c>
      <c r="E27" s="1052"/>
      <c r="F27" s="258" t="str">
        <f t="shared" si="1"/>
        <v>Сокращенное Название</v>
      </c>
      <c r="G27" s="259" t="s">
        <v>325</v>
      </c>
      <c r="H27" s="259" t="str">
        <f t="shared" ca="1" si="2"/>
        <v>г.р.???</v>
      </c>
      <c r="I27" s="372" t="str">
        <f t="shared" si="4"/>
        <v>Фамилия_1 Имя Отчество</v>
      </c>
      <c r="J27" s="369">
        <f t="shared" si="3"/>
        <v>0</v>
      </c>
      <c r="K27" s="261"/>
      <c r="L27" s="268"/>
      <c r="M27" s="261"/>
      <c r="N27" s="262"/>
      <c r="O27" s="262"/>
      <c r="P27" s="262"/>
      <c r="Q27" s="262"/>
      <c r="R27" s="266"/>
      <c r="S27" s="307"/>
      <c r="T27" s="65"/>
      <c r="U27" s="267"/>
      <c r="V27" s="261"/>
      <c r="W27" s="262"/>
      <c r="X27" s="186"/>
      <c r="Y27" s="263"/>
      <c r="Z27" s="261"/>
      <c r="AA27" s="188"/>
      <c r="AB27" s="264"/>
      <c r="AC27" s="188"/>
      <c r="AD27" s="261"/>
      <c r="AE27" s="188"/>
      <c r="AF27" s="264"/>
      <c r="AG27" s="188"/>
      <c r="AH27" s="56"/>
      <c r="AJ27" s="257" t="s">
        <v>14</v>
      </c>
      <c r="AK27" s="254"/>
    </row>
    <row r="28" spans="1:49" ht="12" customHeight="1">
      <c r="A28" s="94">
        <f t="shared" si="0"/>
        <v>8</v>
      </c>
      <c r="B28" s="66" t="s">
        <v>11</v>
      </c>
      <c r="C28" s="1057" t="s">
        <v>161</v>
      </c>
      <c r="D28" s="1061" t="s">
        <v>433</v>
      </c>
      <c r="E28" s="1052"/>
      <c r="F28" s="258" t="str">
        <f t="shared" si="1"/>
        <v>Сокращенное Название</v>
      </c>
      <c r="G28" s="259" t="s">
        <v>325</v>
      </c>
      <c r="H28" s="259" t="str">
        <f t="shared" ca="1" si="2"/>
        <v>г.р.???</v>
      </c>
      <c r="I28" s="372" t="str">
        <f t="shared" si="4"/>
        <v>Фамилия_1 Имя Отчество</v>
      </c>
      <c r="J28" s="369">
        <f t="shared" si="3"/>
        <v>0</v>
      </c>
      <c r="K28" s="261"/>
      <c r="L28" s="268"/>
      <c r="M28" s="261"/>
      <c r="N28" s="262"/>
      <c r="O28" s="262"/>
      <c r="P28" s="262"/>
      <c r="Q28" s="262"/>
      <c r="R28" s="266"/>
      <c r="S28" s="307"/>
      <c r="T28" s="65"/>
      <c r="U28" s="267"/>
      <c r="V28" s="261"/>
      <c r="W28" s="262"/>
      <c r="X28" s="186"/>
      <c r="Y28" s="263"/>
      <c r="Z28" s="261"/>
      <c r="AA28" s="188"/>
      <c r="AB28" s="264"/>
      <c r="AC28" s="188"/>
      <c r="AD28" s="261"/>
      <c r="AE28" s="188"/>
      <c r="AF28" s="264"/>
      <c r="AG28" s="188"/>
      <c r="AH28" s="56"/>
      <c r="AJ28" s="66" t="s">
        <v>35</v>
      </c>
      <c r="AK28" s="254"/>
    </row>
    <row r="29" spans="1:49" ht="12" customHeight="1">
      <c r="A29" s="94">
        <f t="shared" si="0"/>
        <v>9</v>
      </c>
      <c r="B29" s="257" t="s">
        <v>14</v>
      </c>
      <c r="C29" s="1057" t="s">
        <v>161</v>
      </c>
      <c r="D29" s="1061" t="s">
        <v>433</v>
      </c>
      <c r="E29" s="1052"/>
      <c r="F29" s="258" t="str">
        <f t="shared" si="1"/>
        <v>Сокращенное Название</v>
      </c>
      <c r="G29" s="259" t="s">
        <v>325</v>
      </c>
      <c r="H29" s="259" t="str">
        <f t="shared" ca="1" si="2"/>
        <v>г.р.???</v>
      </c>
      <c r="I29" s="372" t="str">
        <f t="shared" si="4"/>
        <v>Фамилия_1 Имя Отчество</v>
      </c>
      <c r="J29" s="369">
        <f t="shared" si="3"/>
        <v>0</v>
      </c>
      <c r="K29" s="261"/>
      <c r="L29" s="268"/>
      <c r="M29" s="261"/>
      <c r="N29" s="262"/>
      <c r="O29" s="262"/>
      <c r="P29" s="262"/>
      <c r="Q29" s="262"/>
      <c r="R29" s="266"/>
      <c r="S29" s="307"/>
      <c r="T29" s="65"/>
      <c r="U29" s="267"/>
      <c r="V29" s="261"/>
      <c r="W29" s="262"/>
      <c r="X29" s="186"/>
      <c r="Y29" s="263"/>
      <c r="Z29" s="261"/>
      <c r="AA29" s="188"/>
      <c r="AB29" s="264"/>
      <c r="AC29" s="188"/>
      <c r="AD29" s="261"/>
      <c r="AE29" s="188"/>
      <c r="AF29" s="264"/>
      <c r="AG29" s="188"/>
      <c r="AH29" s="56"/>
      <c r="AJ29" s="66" t="s">
        <v>10</v>
      </c>
      <c r="AK29" s="254"/>
    </row>
    <row r="30" spans="1:49" ht="12" customHeight="1">
      <c r="A30" s="94">
        <f t="shared" si="0"/>
        <v>10</v>
      </c>
      <c r="B30" s="257" t="s">
        <v>1</v>
      </c>
      <c r="C30" s="1057" t="s">
        <v>161</v>
      </c>
      <c r="D30" s="1061" t="s">
        <v>433</v>
      </c>
      <c r="E30" s="1052"/>
      <c r="F30" s="258" t="str">
        <f t="shared" si="1"/>
        <v>Сокращенное Название</v>
      </c>
      <c r="G30" s="259" t="s">
        <v>325</v>
      </c>
      <c r="H30" s="259" t="str">
        <f t="shared" ca="1" si="2"/>
        <v>г.р.???</v>
      </c>
      <c r="I30" s="372" t="str">
        <f t="shared" si="4"/>
        <v>Фамилия_1 Имя Отчество</v>
      </c>
      <c r="J30" s="369">
        <f t="shared" si="3"/>
        <v>0</v>
      </c>
      <c r="K30" s="261"/>
      <c r="L30" s="268"/>
      <c r="M30" s="261"/>
      <c r="N30" s="262"/>
      <c r="O30" s="262"/>
      <c r="P30" s="262"/>
      <c r="Q30" s="262"/>
      <c r="R30" s="266"/>
      <c r="S30" s="307"/>
      <c r="T30" s="65"/>
      <c r="U30" s="267"/>
      <c r="V30" s="261"/>
      <c r="W30" s="262"/>
      <c r="X30" s="186"/>
      <c r="Y30" s="263"/>
      <c r="Z30" s="261"/>
      <c r="AA30" s="188"/>
      <c r="AB30" s="264"/>
      <c r="AC30" s="188"/>
      <c r="AD30" s="261"/>
      <c r="AE30" s="188"/>
      <c r="AF30" s="264"/>
      <c r="AG30" s="188"/>
      <c r="AH30" s="56"/>
      <c r="AJ30" s="66" t="s">
        <v>11</v>
      </c>
      <c r="AK30" s="254"/>
    </row>
    <row r="31" spans="1:49" ht="12" customHeight="1">
      <c r="A31" s="94">
        <f t="shared" si="0"/>
        <v>11</v>
      </c>
      <c r="B31" s="66" t="s">
        <v>35</v>
      </c>
      <c r="C31" s="1057" t="s">
        <v>161</v>
      </c>
      <c r="D31" s="1061" t="s">
        <v>433</v>
      </c>
      <c r="E31" s="1052"/>
      <c r="F31" s="258" t="str">
        <f t="shared" si="1"/>
        <v>Сокращенное Название</v>
      </c>
      <c r="G31" s="259" t="s">
        <v>325</v>
      </c>
      <c r="H31" s="259" t="str">
        <f t="shared" ca="1" si="2"/>
        <v>г.р.???</v>
      </c>
      <c r="I31" s="372" t="str">
        <f t="shared" si="4"/>
        <v>Фамилия_1 Имя Отчество</v>
      </c>
      <c r="J31" s="369">
        <f t="shared" si="3"/>
        <v>0</v>
      </c>
      <c r="K31" s="261"/>
      <c r="L31" s="268"/>
      <c r="M31" s="261"/>
      <c r="N31" s="262"/>
      <c r="O31" s="262"/>
      <c r="P31" s="262"/>
      <c r="Q31" s="262"/>
      <c r="R31" s="266"/>
      <c r="S31" s="307"/>
      <c r="T31" s="65"/>
      <c r="U31" s="267"/>
      <c r="V31" s="261"/>
      <c r="W31" s="262"/>
      <c r="X31" s="186"/>
      <c r="Y31" s="263"/>
      <c r="Z31" s="261"/>
      <c r="AA31" s="188"/>
      <c r="AB31" s="264"/>
      <c r="AC31" s="188"/>
      <c r="AD31" s="261"/>
      <c r="AE31" s="188"/>
      <c r="AF31" s="264"/>
      <c r="AG31" s="188"/>
      <c r="AH31" s="56"/>
      <c r="AJ31" s="362" t="s">
        <v>15</v>
      </c>
      <c r="AK31" s="254"/>
    </row>
    <row r="32" spans="1:49" ht="12" customHeight="1">
      <c r="A32" s="94">
        <f t="shared" si="0"/>
        <v>12</v>
      </c>
      <c r="B32" s="257" t="s">
        <v>27</v>
      </c>
      <c r="C32" s="1057" t="s">
        <v>161</v>
      </c>
      <c r="D32" s="1061" t="s">
        <v>433</v>
      </c>
      <c r="E32" s="1052"/>
      <c r="F32" s="258" t="str">
        <f t="shared" si="1"/>
        <v>Сокращенное Название</v>
      </c>
      <c r="G32" s="259" t="s">
        <v>325</v>
      </c>
      <c r="H32" s="259" t="str">
        <f t="shared" ca="1" si="2"/>
        <v>г.р.???</v>
      </c>
      <c r="I32" s="372" t="str">
        <f t="shared" si="4"/>
        <v>Фамилия_1 Имя Отчество</v>
      </c>
      <c r="J32" s="369">
        <f t="shared" si="3"/>
        <v>0</v>
      </c>
      <c r="K32" s="261"/>
      <c r="L32" s="268"/>
      <c r="M32" s="261"/>
      <c r="N32" s="262"/>
      <c r="O32" s="262"/>
      <c r="P32" s="262"/>
      <c r="Q32" s="262"/>
      <c r="R32" s="266"/>
      <c r="S32" s="307"/>
      <c r="T32" s="65"/>
      <c r="U32" s="267"/>
      <c r="V32" s="261"/>
      <c r="W32" s="262"/>
      <c r="X32" s="186"/>
      <c r="Y32" s="263"/>
      <c r="Z32" s="261"/>
      <c r="AA32" s="188"/>
      <c r="AB32" s="264"/>
      <c r="AC32" s="188"/>
      <c r="AD32" s="261"/>
      <c r="AE32" s="188"/>
      <c r="AF32" s="264"/>
      <c r="AG32" s="188"/>
      <c r="AH32" s="56"/>
      <c r="AJ32" s="12"/>
      <c r="AK32" s="254"/>
    </row>
    <row r="33" spans="1:37" ht="12" customHeight="1">
      <c r="A33" s="94">
        <f t="shared" si="0"/>
        <v>13</v>
      </c>
      <c r="B33" s="257" t="s">
        <v>29</v>
      </c>
      <c r="C33" s="1057" t="s">
        <v>161</v>
      </c>
      <c r="D33" s="1061" t="s">
        <v>433</v>
      </c>
      <c r="E33" s="1052"/>
      <c r="F33" s="258" t="str">
        <f t="shared" si="1"/>
        <v>Сокращенное Название</v>
      </c>
      <c r="G33" s="259" t="s">
        <v>325</v>
      </c>
      <c r="H33" s="259" t="str">
        <f t="shared" ca="1" si="2"/>
        <v>г.р.???</v>
      </c>
      <c r="I33" s="372" t="str">
        <f t="shared" si="4"/>
        <v>Фамилия_1 Имя Отчество</v>
      </c>
      <c r="J33" s="369">
        <f t="shared" si="3"/>
        <v>0</v>
      </c>
      <c r="K33" s="261"/>
      <c r="L33" s="268"/>
      <c r="M33" s="261"/>
      <c r="N33" s="262"/>
      <c r="O33" s="262"/>
      <c r="P33" s="262"/>
      <c r="Q33" s="262"/>
      <c r="R33" s="266"/>
      <c r="S33" s="307"/>
      <c r="T33" s="65"/>
      <c r="U33" s="267"/>
      <c r="V33" s="261"/>
      <c r="W33" s="262"/>
      <c r="X33" s="186"/>
      <c r="Y33" s="263"/>
      <c r="Z33" s="261"/>
      <c r="AA33" s="188"/>
      <c r="AB33" s="264"/>
      <c r="AC33" s="188"/>
      <c r="AD33" s="261"/>
      <c r="AE33" s="188"/>
      <c r="AF33" s="264"/>
      <c r="AG33" s="188"/>
      <c r="AH33" s="56"/>
      <c r="AJ33" s="12"/>
      <c r="AK33" s="254"/>
    </row>
    <row r="34" spans="1:37" ht="12" customHeight="1">
      <c r="A34" s="94">
        <f t="shared" si="0"/>
        <v>14</v>
      </c>
      <c r="B34" s="257" t="s">
        <v>1</v>
      </c>
      <c r="C34" s="1057" t="s">
        <v>161</v>
      </c>
      <c r="D34" s="1061" t="s">
        <v>433</v>
      </c>
      <c r="E34" s="1052"/>
      <c r="F34" s="258" t="str">
        <f t="shared" si="1"/>
        <v>Сокращенное Название</v>
      </c>
      <c r="G34" s="259" t="s">
        <v>325</v>
      </c>
      <c r="H34" s="259" t="str">
        <f t="shared" ca="1" si="2"/>
        <v>г.р.???</v>
      </c>
      <c r="I34" s="372" t="str">
        <f t="shared" si="4"/>
        <v>Фамилия_1 Имя Отчество</v>
      </c>
      <c r="J34" s="369">
        <f t="shared" si="3"/>
        <v>0</v>
      </c>
      <c r="K34" s="261"/>
      <c r="L34" s="268"/>
      <c r="M34" s="261"/>
      <c r="N34" s="262"/>
      <c r="O34" s="262"/>
      <c r="P34" s="262"/>
      <c r="Q34" s="262"/>
      <c r="R34" s="266"/>
      <c r="S34" s="307"/>
      <c r="T34" s="65"/>
      <c r="U34" s="267"/>
      <c r="V34" s="261"/>
      <c r="W34" s="262"/>
      <c r="X34" s="186"/>
      <c r="Y34" s="263"/>
      <c r="Z34" s="261"/>
      <c r="AA34" s="188"/>
      <c r="AB34" s="264"/>
      <c r="AC34" s="188"/>
      <c r="AD34" s="261"/>
      <c r="AE34" s="188"/>
      <c r="AF34" s="264"/>
      <c r="AG34" s="188"/>
      <c r="AH34" s="56"/>
      <c r="AJ34" s="12"/>
      <c r="AK34" s="254"/>
    </row>
    <row r="35" spans="1:37" ht="12" customHeight="1">
      <c r="A35" s="94">
        <f t="shared" si="0"/>
        <v>15</v>
      </c>
      <c r="B35" s="257" t="s">
        <v>13</v>
      </c>
      <c r="C35" s="1057" t="s">
        <v>161</v>
      </c>
      <c r="D35" s="1061" t="s">
        <v>433</v>
      </c>
      <c r="E35" s="1052"/>
      <c r="F35" s="258" t="str">
        <f t="shared" si="1"/>
        <v>Сокращенное Название</v>
      </c>
      <c r="G35" s="259" t="s">
        <v>325</v>
      </c>
      <c r="H35" s="259" t="str">
        <f t="shared" ca="1" si="2"/>
        <v>г.р.???</v>
      </c>
      <c r="I35" s="372" t="str">
        <f t="shared" si="4"/>
        <v>Фамилия_1 Имя Отчество</v>
      </c>
      <c r="J35" s="369">
        <f t="shared" si="3"/>
        <v>0</v>
      </c>
      <c r="K35" s="261"/>
      <c r="L35" s="268"/>
      <c r="M35" s="261"/>
      <c r="N35" s="262"/>
      <c r="O35" s="262"/>
      <c r="P35" s="262"/>
      <c r="Q35" s="262"/>
      <c r="R35" s="266"/>
      <c r="S35" s="307"/>
      <c r="T35" s="65"/>
      <c r="U35" s="267"/>
      <c r="V35" s="261"/>
      <c r="W35" s="262"/>
      <c r="X35" s="186"/>
      <c r="Y35" s="263"/>
      <c r="Z35" s="261"/>
      <c r="AA35" s="188"/>
      <c r="AB35" s="264"/>
      <c r="AC35" s="188"/>
      <c r="AD35" s="261"/>
      <c r="AE35" s="188"/>
      <c r="AF35" s="264"/>
      <c r="AG35" s="188"/>
      <c r="AH35" s="56"/>
      <c r="AJ35" s="12"/>
      <c r="AK35" s="254"/>
    </row>
    <row r="36" spans="1:37" ht="12" customHeight="1">
      <c r="A36" s="94">
        <f t="shared" si="0"/>
        <v>16</v>
      </c>
      <c r="B36" s="257" t="s">
        <v>13</v>
      </c>
      <c r="C36" s="1057" t="s">
        <v>161</v>
      </c>
      <c r="D36" s="1061" t="s">
        <v>433</v>
      </c>
      <c r="E36" s="1052"/>
      <c r="F36" s="258" t="str">
        <f t="shared" si="1"/>
        <v>Сокращенное Название</v>
      </c>
      <c r="G36" s="259" t="s">
        <v>325</v>
      </c>
      <c r="H36" s="259" t="str">
        <f t="shared" ca="1" si="2"/>
        <v>г.р.???</v>
      </c>
      <c r="I36" s="372" t="str">
        <f t="shared" si="4"/>
        <v>Фамилия_1 Имя Отчество</v>
      </c>
      <c r="J36" s="369">
        <f t="shared" ref="J36:J41" si="5">COUNTA(K36:X36)</f>
        <v>0</v>
      </c>
      <c r="K36" s="261"/>
      <c r="L36" s="268"/>
      <c r="M36" s="261"/>
      <c r="N36" s="262"/>
      <c r="O36" s="262"/>
      <c r="P36" s="262"/>
      <c r="Q36" s="262"/>
      <c r="R36" s="266"/>
      <c r="S36" s="307"/>
      <c r="T36" s="65"/>
      <c r="U36" s="267"/>
      <c r="V36" s="261"/>
      <c r="W36" s="262"/>
      <c r="X36" s="186"/>
      <c r="Y36" s="263"/>
      <c r="Z36" s="261"/>
      <c r="AA36" s="188"/>
      <c r="AB36" s="264"/>
      <c r="AC36" s="188"/>
      <c r="AD36" s="261"/>
      <c r="AE36" s="188"/>
      <c r="AF36" s="264"/>
      <c r="AG36" s="188"/>
      <c r="AH36" s="56"/>
      <c r="AJ36" s="12"/>
      <c r="AK36" s="254"/>
    </row>
    <row r="37" spans="1:37" ht="12" customHeight="1">
      <c r="A37" s="94">
        <f t="shared" si="0"/>
        <v>17</v>
      </c>
      <c r="B37" s="257" t="s">
        <v>13</v>
      </c>
      <c r="C37" s="1057" t="s">
        <v>161</v>
      </c>
      <c r="D37" s="1061" t="s">
        <v>433</v>
      </c>
      <c r="E37" s="1052"/>
      <c r="F37" s="258" t="str">
        <f t="shared" si="1"/>
        <v>Сокращенное Название</v>
      </c>
      <c r="G37" s="259" t="s">
        <v>325</v>
      </c>
      <c r="H37" s="259" t="str">
        <f t="shared" ca="1" si="2"/>
        <v>г.р.???</v>
      </c>
      <c r="I37" s="372" t="str">
        <f t="shared" si="4"/>
        <v>Фамилия_1 Имя Отчество</v>
      </c>
      <c r="J37" s="369">
        <f t="shared" si="5"/>
        <v>0</v>
      </c>
      <c r="K37" s="261"/>
      <c r="L37" s="268"/>
      <c r="M37" s="261"/>
      <c r="N37" s="262"/>
      <c r="O37" s="262"/>
      <c r="P37" s="262"/>
      <c r="Q37" s="262"/>
      <c r="R37" s="266"/>
      <c r="S37" s="307"/>
      <c r="T37" s="65"/>
      <c r="U37" s="267"/>
      <c r="V37" s="261"/>
      <c r="W37" s="262"/>
      <c r="X37" s="186"/>
      <c r="Y37" s="263"/>
      <c r="Z37" s="261"/>
      <c r="AA37" s="188"/>
      <c r="AB37" s="264"/>
      <c r="AC37" s="188"/>
      <c r="AD37" s="261"/>
      <c r="AE37" s="188"/>
      <c r="AF37" s="264"/>
      <c r="AG37" s="188"/>
      <c r="AH37" s="56"/>
      <c r="AJ37" s="12"/>
      <c r="AK37" s="254"/>
    </row>
    <row r="38" spans="1:37" ht="12" customHeight="1">
      <c r="A38" s="94">
        <f t="shared" si="0"/>
        <v>18</v>
      </c>
      <c r="B38" s="257" t="s">
        <v>13</v>
      </c>
      <c r="C38" s="1057" t="s">
        <v>161</v>
      </c>
      <c r="D38" s="1061" t="s">
        <v>433</v>
      </c>
      <c r="E38" s="1052"/>
      <c r="F38" s="258" t="str">
        <f t="shared" si="1"/>
        <v>Сокращенное Название</v>
      </c>
      <c r="G38" s="259" t="s">
        <v>325</v>
      </c>
      <c r="H38" s="259" t="str">
        <f t="shared" ca="1" si="2"/>
        <v>г.р.???</v>
      </c>
      <c r="I38" s="372" t="str">
        <f t="shared" si="4"/>
        <v>Фамилия_1 Имя Отчество</v>
      </c>
      <c r="J38" s="369">
        <f t="shared" si="5"/>
        <v>0</v>
      </c>
      <c r="K38" s="261"/>
      <c r="L38" s="268"/>
      <c r="M38" s="261"/>
      <c r="N38" s="262"/>
      <c r="O38" s="262"/>
      <c r="P38" s="262"/>
      <c r="Q38" s="262"/>
      <c r="R38" s="266"/>
      <c r="S38" s="307"/>
      <c r="T38" s="65"/>
      <c r="U38" s="267"/>
      <c r="V38" s="261"/>
      <c r="W38" s="262"/>
      <c r="X38" s="186"/>
      <c r="Y38" s="263"/>
      <c r="Z38" s="261"/>
      <c r="AA38" s="188"/>
      <c r="AB38" s="264"/>
      <c r="AC38" s="188"/>
      <c r="AD38" s="261"/>
      <c r="AE38" s="188"/>
      <c r="AF38" s="264"/>
      <c r="AG38" s="188"/>
      <c r="AH38" s="56"/>
      <c r="AJ38" s="12"/>
      <c r="AK38" s="254"/>
    </row>
    <row r="39" spans="1:37" ht="12" customHeight="1">
      <c r="A39" s="94">
        <f t="shared" si="0"/>
        <v>19</v>
      </c>
      <c r="B39" s="257" t="s">
        <v>13</v>
      </c>
      <c r="C39" s="1057" t="s">
        <v>161</v>
      </c>
      <c r="D39" s="1061" t="s">
        <v>433</v>
      </c>
      <c r="E39" s="1052"/>
      <c r="F39" s="258" t="str">
        <f t="shared" si="1"/>
        <v>Сокращенное Название</v>
      </c>
      <c r="G39" s="259" t="s">
        <v>325</v>
      </c>
      <c r="H39" s="259" t="str">
        <f t="shared" ca="1" si="2"/>
        <v>г.р.???</v>
      </c>
      <c r="I39" s="372" t="str">
        <f t="shared" si="4"/>
        <v>Фамилия_1 Имя Отчество</v>
      </c>
      <c r="J39" s="369">
        <f t="shared" si="5"/>
        <v>0</v>
      </c>
      <c r="K39" s="261"/>
      <c r="L39" s="268"/>
      <c r="M39" s="261"/>
      <c r="N39" s="262"/>
      <c r="O39" s="262"/>
      <c r="P39" s="262"/>
      <c r="Q39" s="262"/>
      <c r="R39" s="266"/>
      <c r="S39" s="307"/>
      <c r="T39" s="65"/>
      <c r="U39" s="267"/>
      <c r="V39" s="261"/>
      <c r="W39" s="262"/>
      <c r="X39" s="186"/>
      <c r="Y39" s="263"/>
      <c r="Z39" s="261"/>
      <c r="AA39" s="188"/>
      <c r="AB39" s="264"/>
      <c r="AC39" s="188"/>
      <c r="AD39" s="261"/>
      <c r="AE39" s="188"/>
      <c r="AF39" s="264"/>
      <c r="AG39" s="188"/>
      <c r="AH39" s="56"/>
      <c r="AJ39" s="12"/>
      <c r="AK39" s="254"/>
    </row>
    <row r="40" spans="1:37" ht="12" customHeight="1">
      <c r="A40" s="94">
        <f t="shared" si="0"/>
        <v>20</v>
      </c>
      <c r="B40" s="257" t="s">
        <v>13</v>
      </c>
      <c r="C40" s="1057" t="s">
        <v>161</v>
      </c>
      <c r="D40" s="1061" t="s">
        <v>433</v>
      </c>
      <c r="E40" s="1052"/>
      <c r="F40" s="258" t="str">
        <f t="shared" si="1"/>
        <v>Сокращенное Название</v>
      </c>
      <c r="G40" s="259" t="s">
        <v>325</v>
      </c>
      <c r="H40" s="259" t="str">
        <f t="shared" ca="1" si="2"/>
        <v>г.р.???</v>
      </c>
      <c r="I40" s="372" t="str">
        <f t="shared" si="4"/>
        <v>Фамилия_1 Имя Отчество</v>
      </c>
      <c r="J40" s="369">
        <f t="shared" si="5"/>
        <v>0</v>
      </c>
      <c r="K40" s="261"/>
      <c r="L40" s="268"/>
      <c r="M40" s="261"/>
      <c r="N40" s="262"/>
      <c r="O40" s="262"/>
      <c r="P40" s="262"/>
      <c r="Q40" s="262"/>
      <c r="R40" s="266"/>
      <c r="S40" s="307"/>
      <c r="T40" s="65"/>
      <c r="U40" s="267"/>
      <c r="V40" s="261"/>
      <c r="W40" s="262"/>
      <c r="X40" s="186"/>
      <c r="Y40" s="263"/>
      <c r="Z40" s="261"/>
      <c r="AA40" s="188"/>
      <c r="AB40" s="264"/>
      <c r="AC40" s="188"/>
      <c r="AD40" s="261"/>
      <c r="AE40" s="188"/>
      <c r="AF40" s="264"/>
      <c r="AG40" s="188"/>
      <c r="AH40" s="56"/>
      <c r="AJ40" s="12"/>
      <c r="AK40" s="254"/>
    </row>
    <row r="41" spans="1:37" ht="12" customHeight="1">
      <c r="A41" s="94">
        <f t="shared" si="0"/>
        <v>21</v>
      </c>
      <c r="B41" s="257" t="s">
        <v>13</v>
      </c>
      <c r="C41" s="1057" t="s">
        <v>161</v>
      </c>
      <c r="D41" s="1061" t="s">
        <v>433</v>
      </c>
      <c r="E41" s="1052"/>
      <c r="F41" s="258" t="str">
        <f t="shared" si="1"/>
        <v>Сокращенное Название</v>
      </c>
      <c r="G41" s="259" t="s">
        <v>325</v>
      </c>
      <c r="H41" s="259" t="str">
        <f t="shared" ca="1" si="2"/>
        <v>г.р.???</v>
      </c>
      <c r="I41" s="372" t="str">
        <f t="shared" si="4"/>
        <v>Фамилия_1 Имя Отчество</v>
      </c>
      <c r="J41" s="369">
        <f t="shared" si="5"/>
        <v>0</v>
      </c>
      <c r="K41" s="261"/>
      <c r="L41" s="268"/>
      <c r="M41" s="261"/>
      <c r="N41" s="262"/>
      <c r="O41" s="262"/>
      <c r="P41" s="262"/>
      <c r="Q41" s="262"/>
      <c r="R41" s="266"/>
      <c r="S41" s="307"/>
      <c r="T41" s="65"/>
      <c r="U41" s="267"/>
      <c r="V41" s="261"/>
      <c r="W41" s="262"/>
      <c r="X41" s="186"/>
      <c r="Y41" s="263"/>
      <c r="Z41" s="261"/>
      <c r="AA41" s="188"/>
      <c r="AB41" s="264"/>
      <c r="AC41" s="188"/>
      <c r="AD41" s="261"/>
      <c r="AE41" s="188"/>
      <c r="AF41" s="264"/>
      <c r="AG41" s="188"/>
      <c r="AH41" s="56"/>
      <c r="AJ41" s="12"/>
      <c r="AK41" s="254"/>
    </row>
    <row r="42" spans="1:37" ht="12" customHeight="1">
      <c r="A42" s="94">
        <f t="shared" si="0"/>
        <v>22</v>
      </c>
      <c r="B42" s="66" t="s">
        <v>35</v>
      </c>
      <c r="C42" s="1057" t="s">
        <v>161</v>
      </c>
      <c r="D42" s="1061" t="s">
        <v>433</v>
      </c>
      <c r="E42" s="1052"/>
      <c r="F42" s="258" t="str">
        <f t="shared" si="1"/>
        <v>Сокращенное Название</v>
      </c>
      <c r="G42" s="259" t="s">
        <v>325</v>
      </c>
      <c r="H42" s="259" t="str">
        <f t="shared" ca="1" si="2"/>
        <v>г.р.???</v>
      </c>
      <c r="I42" s="372" t="str">
        <f t="shared" si="4"/>
        <v>Фамилия_1 Имя Отчество</v>
      </c>
      <c r="J42" s="369">
        <f t="shared" si="3"/>
        <v>0</v>
      </c>
      <c r="K42" s="261"/>
      <c r="L42" s="268"/>
      <c r="M42" s="261"/>
      <c r="N42" s="262"/>
      <c r="O42" s="262"/>
      <c r="P42" s="262"/>
      <c r="Q42" s="262"/>
      <c r="R42" s="266"/>
      <c r="S42" s="307"/>
      <c r="T42" s="65"/>
      <c r="U42" s="267"/>
      <c r="V42" s="261"/>
      <c r="W42" s="262"/>
      <c r="X42" s="186"/>
      <c r="Y42" s="263"/>
      <c r="Z42" s="261"/>
      <c r="AA42" s="188"/>
      <c r="AB42" s="264"/>
      <c r="AC42" s="188"/>
      <c r="AD42" s="261"/>
      <c r="AE42" s="188"/>
      <c r="AF42" s="264"/>
      <c r="AG42" s="188"/>
      <c r="AH42" s="56"/>
      <c r="AJ42" s="12"/>
      <c r="AK42" s="254"/>
    </row>
    <row r="43" spans="1:37" ht="12" customHeight="1">
      <c r="A43" s="94">
        <f t="shared" si="0"/>
        <v>23</v>
      </c>
      <c r="B43" s="257" t="s">
        <v>27</v>
      </c>
      <c r="C43" s="1057" t="s">
        <v>161</v>
      </c>
      <c r="D43" s="1061" t="s">
        <v>433</v>
      </c>
      <c r="E43" s="1052"/>
      <c r="F43" s="258" t="str">
        <f t="shared" si="1"/>
        <v>Сокращенное Название</v>
      </c>
      <c r="G43" s="259" t="s">
        <v>325</v>
      </c>
      <c r="H43" s="259" t="str">
        <f t="shared" ca="1" si="2"/>
        <v>г.р.???</v>
      </c>
      <c r="I43" s="372" t="str">
        <f t="shared" si="4"/>
        <v>Фамилия_1 Имя Отчество</v>
      </c>
      <c r="J43" s="369">
        <f t="shared" si="3"/>
        <v>0</v>
      </c>
      <c r="K43" s="261"/>
      <c r="L43" s="268"/>
      <c r="M43" s="261"/>
      <c r="N43" s="262"/>
      <c r="O43" s="262"/>
      <c r="P43" s="262"/>
      <c r="Q43" s="262"/>
      <c r="R43" s="266"/>
      <c r="S43" s="307"/>
      <c r="T43" s="65"/>
      <c r="U43" s="267"/>
      <c r="V43" s="261"/>
      <c r="W43" s="262"/>
      <c r="X43" s="186"/>
      <c r="Y43" s="263"/>
      <c r="Z43" s="261"/>
      <c r="AA43" s="188"/>
      <c r="AB43" s="264"/>
      <c r="AC43" s="188"/>
      <c r="AD43" s="261"/>
      <c r="AE43" s="188"/>
      <c r="AF43" s="264"/>
      <c r="AG43" s="188"/>
      <c r="AH43" s="56"/>
      <c r="AJ43" s="12"/>
      <c r="AK43" s="254"/>
    </row>
    <row r="44" spans="1:37" ht="12" customHeight="1">
      <c r="A44" s="94">
        <f t="shared" si="0"/>
        <v>24</v>
      </c>
      <c r="B44" s="257" t="s">
        <v>1</v>
      </c>
      <c r="C44" s="1057" t="s">
        <v>161</v>
      </c>
      <c r="D44" s="1061" t="s">
        <v>433</v>
      </c>
      <c r="E44" s="1052"/>
      <c r="F44" s="258" t="str">
        <f t="shared" si="1"/>
        <v>Сокращенное Название</v>
      </c>
      <c r="G44" s="259" t="s">
        <v>325</v>
      </c>
      <c r="H44" s="259" t="str">
        <f t="shared" ca="1" si="2"/>
        <v>г.р.???</v>
      </c>
      <c r="I44" s="372" t="str">
        <f t="shared" si="4"/>
        <v>Фамилия_1 Имя Отчество</v>
      </c>
      <c r="J44" s="369">
        <f t="shared" si="3"/>
        <v>0</v>
      </c>
      <c r="K44" s="261"/>
      <c r="L44" s="268"/>
      <c r="M44" s="261"/>
      <c r="N44" s="262"/>
      <c r="O44" s="262"/>
      <c r="P44" s="262"/>
      <c r="Q44" s="262"/>
      <c r="R44" s="266"/>
      <c r="S44" s="307"/>
      <c r="T44" s="65"/>
      <c r="U44" s="267"/>
      <c r="V44" s="261"/>
      <c r="W44" s="262"/>
      <c r="X44" s="186"/>
      <c r="Y44" s="263"/>
      <c r="Z44" s="261"/>
      <c r="AA44" s="188"/>
      <c r="AB44" s="264"/>
      <c r="AC44" s="188"/>
      <c r="AD44" s="261"/>
      <c r="AE44" s="188"/>
      <c r="AF44" s="264"/>
      <c r="AG44" s="188"/>
      <c r="AH44" s="56"/>
      <c r="AJ44" s="12"/>
      <c r="AK44" s="254"/>
    </row>
    <row r="45" spans="1:37" ht="12.75" customHeight="1" thickBot="1">
      <c r="A45" s="96">
        <f>A44+1</f>
        <v>25</v>
      </c>
      <c r="B45" s="366" t="s">
        <v>13</v>
      </c>
      <c r="C45" s="1058" t="s">
        <v>161</v>
      </c>
      <c r="D45" s="1062" t="s">
        <v>433</v>
      </c>
      <c r="E45" s="1054"/>
      <c r="F45" s="271" t="str">
        <f t="shared" si="1"/>
        <v>Сокращенное Название</v>
      </c>
      <c r="G45" s="272" t="s">
        <v>325</v>
      </c>
      <c r="H45" s="272" t="str">
        <f t="shared" ca="1" si="2"/>
        <v>г.р.???</v>
      </c>
      <c r="I45" s="373" t="str">
        <f>I44</f>
        <v>Фамилия_1 Имя Отчество</v>
      </c>
      <c r="J45" s="376">
        <f t="shared" si="3"/>
        <v>0</v>
      </c>
      <c r="K45" s="274"/>
      <c r="L45" s="280"/>
      <c r="M45" s="274"/>
      <c r="N45" s="275"/>
      <c r="O45" s="275"/>
      <c r="P45" s="275"/>
      <c r="Q45" s="275"/>
      <c r="R45" s="279"/>
      <c r="S45" s="309"/>
      <c r="T45" s="310"/>
      <c r="U45" s="311"/>
      <c r="V45" s="312"/>
      <c r="W45" s="313"/>
      <c r="X45" s="845"/>
      <c r="Y45" s="847"/>
      <c r="Z45" s="312"/>
      <c r="AA45" s="314"/>
      <c r="AB45" s="315"/>
      <c r="AC45" s="314"/>
      <c r="AD45" s="312"/>
      <c r="AE45" s="314"/>
      <c r="AF45" s="315"/>
      <c r="AG45" s="314"/>
      <c r="AH45" s="56"/>
      <c r="AJ45" s="12"/>
      <c r="AK45" s="254"/>
    </row>
    <row r="46" spans="1:37" ht="12" customHeight="1">
      <c r="A46" s="380">
        <f t="shared" si="0"/>
        <v>26</v>
      </c>
      <c r="B46" s="381" t="s">
        <v>11</v>
      </c>
      <c r="C46" s="1059" t="s">
        <v>162</v>
      </c>
      <c r="D46" s="1063" t="s">
        <v>433</v>
      </c>
      <c r="E46" s="1053"/>
      <c r="F46" s="377" t="str">
        <f t="shared" si="1"/>
        <v>Сокращенное Название</v>
      </c>
      <c r="G46" s="246" t="s">
        <v>326</v>
      </c>
      <c r="H46" s="378" t="str">
        <f t="shared" ca="1" si="2"/>
        <v>г.р.???</v>
      </c>
      <c r="I46" s="379" t="str">
        <f t="shared" si="4"/>
        <v>Фамилия_1 Имя Отчество</v>
      </c>
      <c r="J46" s="368">
        <f t="shared" si="3"/>
        <v>0</v>
      </c>
      <c r="K46" s="281"/>
      <c r="L46" s="305"/>
      <c r="M46" s="281"/>
      <c r="N46" s="282"/>
      <c r="O46" s="282"/>
      <c r="P46" s="282"/>
      <c r="Q46" s="282"/>
      <c r="R46" s="283"/>
      <c r="S46" s="306"/>
      <c r="T46" s="64"/>
      <c r="U46" s="252"/>
      <c r="V46" s="248"/>
      <c r="W46" s="249"/>
      <c r="X46" s="185"/>
      <c r="Y46" s="250"/>
      <c r="Z46" s="248"/>
      <c r="AA46" s="190"/>
      <c r="AB46" s="251"/>
      <c r="AC46" s="190"/>
      <c r="AD46" s="248"/>
      <c r="AE46" s="190"/>
      <c r="AF46" s="251"/>
      <c r="AG46" s="190"/>
      <c r="AH46" s="56"/>
      <c r="AJ46" s="12"/>
      <c r="AK46" s="254"/>
    </row>
    <row r="47" spans="1:37" ht="12" customHeight="1">
      <c r="A47" s="94">
        <f t="shared" si="0"/>
        <v>27</v>
      </c>
      <c r="B47" s="257" t="s">
        <v>13</v>
      </c>
      <c r="C47" s="1057" t="s">
        <v>162</v>
      </c>
      <c r="D47" s="1061" t="s">
        <v>433</v>
      </c>
      <c r="E47" s="1052"/>
      <c r="F47" s="258" t="str">
        <f t="shared" si="1"/>
        <v>Сокращенное Название</v>
      </c>
      <c r="G47" s="259" t="s">
        <v>326</v>
      </c>
      <c r="H47" s="259" t="str">
        <f t="shared" ca="1" si="2"/>
        <v>г.р.???</v>
      </c>
      <c r="I47" s="372" t="str">
        <f t="shared" si="4"/>
        <v>Фамилия_1 Имя Отчество</v>
      </c>
      <c r="J47" s="369">
        <f t="shared" si="3"/>
        <v>0</v>
      </c>
      <c r="K47" s="261"/>
      <c r="L47" s="268"/>
      <c r="M47" s="261"/>
      <c r="N47" s="262"/>
      <c r="O47" s="262"/>
      <c r="P47" s="262"/>
      <c r="Q47" s="262"/>
      <c r="R47" s="263"/>
      <c r="S47" s="307"/>
      <c r="T47" s="65"/>
      <c r="U47" s="267"/>
      <c r="V47" s="261"/>
      <c r="W47" s="262"/>
      <c r="X47" s="186"/>
      <c r="Y47" s="263"/>
      <c r="Z47" s="261"/>
      <c r="AA47" s="188"/>
      <c r="AB47" s="264"/>
      <c r="AC47" s="188"/>
      <c r="AD47" s="261"/>
      <c r="AE47" s="188"/>
      <c r="AF47" s="264"/>
      <c r="AG47" s="188"/>
      <c r="AH47" s="56"/>
      <c r="AJ47" s="12"/>
      <c r="AK47" s="254"/>
    </row>
    <row r="48" spans="1:37" ht="12" customHeight="1">
      <c r="A48" s="94">
        <f t="shared" si="0"/>
        <v>28</v>
      </c>
      <c r="B48" s="257" t="s">
        <v>13</v>
      </c>
      <c r="C48" s="1057" t="s">
        <v>162</v>
      </c>
      <c r="D48" s="1061" t="s">
        <v>433</v>
      </c>
      <c r="E48" s="1052"/>
      <c r="F48" s="258" t="str">
        <f t="shared" si="1"/>
        <v>Сокращенное Название</v>
      </c>
      <c r="G48" s="259" t="s">
        <v>326</v>
      </c>
      <c r="H48" s="259" t="str">
        <f t="shared" ca="1" si="2"/>
        <v>г.р.???</v>
      </c>
      <c r="I48" s="372" t="str">
        <f t="shared" si="4"/>
        <v>Фамилия_1 Имя Отчество</v>
      </c>
      <c r="J48" s="369">
        <f t="shared" si="3"/>
        <v>0</v>
      </c>
      <c r="K48" s="261"/>
      <c r="L48" s="268"/>
      <c r="M48" s="261"/>
      <c r="N48" s="262"/>
      <c r="O48" s="262"/>
      <c r="P48" s="262"/>
      <c r="Q48" s="262"/>
      <c r="R48" s="263"/>
      <c r="S48" s="307"/>
      <c r="T48" s="65"/>
      <c r="U48" s="267"/>
      <c r="V48" s="261"/>
      <c r="W48" s="262"/>
      <c r="X48" s="186"/>
      <c r="Y48" s="263"/>
      <c r="Z48" s="261"/>
      <c r="AA48" s="188"/>
      <c r="AB48" s="264"/>
      <c r="AC48" s="188"/>
      <c r="AD48" s="261"/>
      <c r="AE48" s="188"/>
      <c r="AF48" s="264"/>
      <c r="AG48" s="188"/>
      <c r="AH48" s="56"/>
      <c r="AJ48" s="12"/>
      <c r="AK48" s="254"/>
    </row>
    <row r="49" spans="1:37" ht="12" customHeight="1">
      <c r="A49" s="94">
        <f t="shared" si="0"/>
        <v>29</v>
      </c>
      <c r="B49" s="257" t="s">
        <v>13</v>
      </c>
      <c r="C49" s="1057" t="s">
        <v>162</v>
      </c>
      <c r="D49" s="1061" t="s">
        <v>433</v>
      </c>
      <c r="E49" s="1052"/>
      <c r="F49" s="258" t="str">
        <f t="shared" si="1"/>
        <v>Сокращенное Название</v>
      </c>
      <c r="G49" s="259" t="s">
        <v>326</v>
      </c>
      <c r="H49" s="259" t="str">
        <f t="shared" ca="1" si="2"/>
        <v>г.р.???</v>
      </c>
      <c r="I49" s="372" t="str">
        <f t="shared" si="4"/>
        <v>Фамилия_1 Имя Отчество</v>
      </c>
      <c r="J49" s="369">
        <f t="shared" si="3"/>
        <v>0</v>
      </c>
      <c r="K49" s="261"/>
      <c r="L49" s="268"/>
      <c r="M49" s="261"/>
      <c r="N49" s="262"/>
      <c r="O49" s="262"/>
      <c r="P49" s="262"/>
      <c r="Q49" s="262"/>
      <c r="R49" s="263"/>
      <c r="S49" s="307"/>
      <c r="T49" s="65"/>
      <c r="U49" s="267"/>
      <c r="V49" s="261"/>
      <c r="W49" s="262"/>
      <c r="X49" s="186"/>
      <c r="Y49" s="263"/>
      <c r="Z49" s="261"/>
      <c r="AA49" s="188"/>
      <c r="AB49" s="264"/>
      <c r="AC49" s="188"/>
      <c r="AD49" s="261"/>
      <c r="AE49" s="188"/>
      <c r="AF49" s="264"/>
      <c r="AG49" s="188"/>
      <c r="AH49" s="56"/>
      <c r="AJ49" s="12"/>
      <c r="AK49" s="254"/>
    </row>
    <row r="50" spans="1:37" ht="12" customHeight="1">
      <c r="A50" s="94">
        <f t="shared" si="0"/>
        <v>30</v>
      </c>
      <c r="B50" s="257" t="s">
        <v>13</v>
      </c>
      <c r="C50" s="1057" t="s">
        <v>162</v>
      </c>
      <c r="D50" s="1061" t="s">
        <v>433</v>
      </c>
      <c r="E50" s="1052"/>
      <c r="F50" s="258" t="str">
        <f t="shared" si="1"/>
        <v>Сокращенное Название</v>
      </c>
      <c r="G50" s="259" t="s">
        <v>326</v>
      </c>
      <c r="H50" s="259" t="str">
        <f t="shared" ca="1" si="2"/>
        <v>г.р.???</v>
      </c>
      <c r="I50" s="372" t="str">
        <f t="shared" si="4"/>
        <v>Фамилия_1 Имя Отчество</v>
      </c>
      <c r="J50" s="369">
        <f t="shared" si="3"/>
        <v>0</v>
      </c>
      <c r="K50" s="261"/>
      <c r="L50" s="268"/>
      <c r="M50" s="261"/>
      <c r="N50" s="262"/>
      <c r="O50" s="262"/>
      <c r="P50" s="262"/>
      <c r="Q50" s="262"/>
      <c r="R50" s="263"/>
      <c r="S50" s="307"/>
      <c r="T50" s="65"/>
      <c r="U50" s="267"/>
      <c r="V50" s="261"/>
      <c r="W50" s="262"/>
      <c r="X50" s="186"/>
      <c r="Y50" s="263"/>
      <c r="Z50" s="261"/>
      <c r="AA50" s="188"/>
      <c r="AB50" s="264"/>
      <c r="AC50" s="188"/>
      <c r="AD50" s="261"/>
      <c r="AE50" s="188"/>
      <c r="AF50" s="264"/>
      <c r="AG50" s="188"/>
      <c r="AH50" s="56"/>
      <c r="AJ50" s="12"/>
      <c r="AK50" s="254"/>
    </row>
    <row r="51" spans="1:37" ht="12" customHeight="1">
      <c r="A51" s="94">
        <f t="shared" si="0"/>
        <v>31</v>
      </c>
      <c r="B51" s="257" t="s">
        <v>13</v>
      </c>
      <c r="C51" s="1057" t="s">
        <v>162</v>
      </c>
      <c r="D51" s="1061" t="s">
        <v>433</v>
      </c>
      <c r="E51" s="1052"/>
      <c r="F51" s="258" t="str">
        <f t="shared" si="1"/>
        <v>Сокращенное Название</v>
      </c>
      <c r="G51" s="259" t="s">
        <v>326</v>
      </c>
      <c r="H51" s="259" t="str">
        <f t="shared" ca="1" si="2"/>
        <v>г.р.???</v>
      </c>
      <c r="I51" s="372" t="str">
        <f t="shared" si="4"/>
        <v>Фамилия_1 Имя Отчество</v>
      </c>
      <c r="J51" s="369">
        <f t="shared" si="3"/>
        <v>0</v>
      </c>
      <c r="K51" s="261"/>
      <c r="L51" s="268"/>
      <c r="M51" s="261"/>
      <c r="N51" s="262"/>
      <c r="O51" s="262"/>
      <c r="P51" s="262"/>
      <c r="Q51" s="262"/>
      <c r="R51" s="263"/>
      <c r="S51" s="307"/>
      <c r="T51" s="65"/>
      <c r="U51" s="267"/>
      <c r="V51" s="261"/>
      <c r="W51" s="262"/>
      <c r="X51" s="186"/>
      <c r="Y51" s="263"/>
      <c r="Z51" s="261"/>
      <c r="AA51" s="188"/>
      <c r="AB51" s="264"/>
      <c r="AC51" s="188"/>
      <c r="AD51" s="261"/>
      <c r="AE51" s="188"/>
      <c r="AF51" s="264"/>
      <c r="AG51" s="188"/>
      <c r="AH51" s="56"/>
      <c r="AJ51" s="12"/>
      <c r="AK51" s="254"/>
    </row>
    <row r="52" spans="1:37" ht="12" customHeight="1">
      <c r="A52" s="94">
        <f t="shared" si="0"/>
        <v>32</v>
      </c>
      <c r="B52" s="257" t="s">
        <v>13</v>
      </c>
      <c r="C52" s="1057" t="s">
        <v>162</v>
      </c>
      <c r="D52" s="1061" t="s">
        <v>433</v>
      </c>
      <c r="E52" s="1052"/>
      <c r="F52" s="258" t="str">
        <f t="shared" si="1"/>
        <v>Сокращенное Название</v>
      </c>
      <c r="G52" s="259" t="s">
        <v>326</v>
      </c>
      <c r="H52" s="259" t="str">
        <f t="shared" ca="1" si="2"/>
        <v>г.р.???</v>
      </c>
      <c r="I52" s="372" t="str">
        <f t="shared" si="4"/>
        <v>Фамилия_1 Имя Отчество</v>
      </c>
      <c r="J52" s="369">
        <f t="shared" si="3"/>
        <v>0</v>
      </c>
      <c r="K52" s="261"/>
      <c r="L52" s="268"/>
      <c r="M52" s="261"/>
      <c r="N52" s="262"/>
      <c r="O52" s="262"/>
      <c r="P52" s="262"/>
      <c r="Q52" s="262"/>
      <c r="R52" s="263"/>
      <c r="S52" s="307"/>
      <c r="T52" s="65"/>
      <c r="U52" s="267"/>
      <c r="V52" s="261"/>
      <c r="W52" s="262"/>
      <c r="X52" s="186"/>
      <c r="Y52" s="263"/>
      <c r="Z52" s="261"/>
      <c r="AA52" s="188"/>
      <c r="AB52" s="264"/>
      <c r="AC52" s="188"/>
      <c r="AD52" s="261"/>
      <c r="AE52" s="188"/>
      <c r="AF52" s="264"/>
      <c r="AG52" s="188"/>
      <c r="AH52" s="56"/>
      <c r="AJ52" s="12"/>
      <c r="AK52" s="254"/>
    </row>
    <row r="53" spans="1:37" ht="12" customHeight="1">
      <c r="A53" s="94">
        <f t="shared" si="0"/>
        <v>33</v>
      </c>
      <c r="B53" s="257" t="s">
        <v>13</v>
      </c>
      <c r="C53" s="1057" t="s">
        <v>162</v>
      </c>
      <c r="D53" s="1061" t="s">
        <v>433</v>
      </c>
      <c r="E53" s="1052"/>
      <c r="F53" s="258" t="str">
        <f t="shared" si="1"/>
        <v>Сокращенное Название</v>
      </c>
      <c r="G53" s="259" t="s">
        <v>326</v>
      </c>
      <c r="H53" s="259" t="str">
        <f t="shared" ref="H53:H70" ca="1" si="6">IF(ISNUMBER(E53),IF(ISBLANK($L$5),IF(ISBLANK($N$5),IF(ISBLANK($L$4),IF(ISBLANK($N$4),IF(ISBLANK($L$3),IF(ISBLANK($N$3),IF(ISBLANK($L$2),IF(ISBLANK($N$2),1,IF(YEAR(TODAY())-$N$2&lt;=E53,1,"нед-н")),IF(ISBLANK($N$2),IF(YEAR(TODAY())-$L$2&gt;=E53,1,"нед-н"),IF(YEAR(TODAY())-$N$2&lt;=E53,IF(YEAR(TODAY())-$L$2&gt;=E53,1,"нед-н"),"нед-н"))),IF(YEAR(TODAY())-$N$3&lt;=E53,2,IF(ISBLANK($N$2),IF(YEAR(TODAY())-$L$2&gt;=E53,1,"нед-н"),IF(YEAR(TODAY())-$N$2&lt;=E53,IF(YEAR(TODAY())-$L$2&gt;=E53,1,"нед-н"),"нед-н")))),IF(YEAR(TODAY())-$N$3&lt;=E53,IF(YEAR(TODAY())-$L$3&gt;=E53,2,"нед-н"),IF(ISBLANK($N$2),IF(YEAR(TODAY())-$L$2&gt;=E53,1,"нед-н"),IF(YEAR(TODAY())-$N$2&lt;=E53,IF(YEAR(TODAY())-$L$2&gt;=E53,1,"нед-н"),"нед-н")))),IF(YEAR(TODAY())-$N$4&lt;=E53,3,IF(YEAR(TODAY())-$N$3&lt;=E53,IF(YEAR(TODAY())-$L$3&gt;=E53,2,"нед-н"),IF(ISBLANK($N$2),IF(YEAR(TODAY())-$L$2&gt;=E53,1,"нед-н"),IF(YEAR(TODAY())-$N$2&lt;=E53,IF(YEAR(TODAY())-$L$2&gt;=E53,1,"нед-н"),"нед-н"))))),IF(YEAR(TODAY())-$N$4&lt;=E53,IF(YEAR(TODAY())-$L$4&gt;=E53,3,"нед-н"),IF(YEAR(TODAY())-$N$3&lt;=E53,IF(YEAR(TODAY())-$L$3&gt;=E53,2,"нед-н"),IF(ISBLANK($N$2),IF(YEAR(TODAY())-$L$2&gt;=E53,1,"нед-н"),IF(YEAR(TODAY())-$N$2&lt;=E53,IF(YEAR(TODAY())-$L$2&gt;=E53,1,"нед-н"),"нед-н"))))),IF(YEAR(TODAY())-$N$5&lt;=E53,4,IF(YEAR(TODAY())-$N$4&lt;=E53,IF(YEAR(TODAY())-$L$4&gt;=E53,3,"нед-н"),IF(YEAR(TODAY())-$N$3&lt;=E53,IF(YEAR(TODAY())-$L$3&gt;=E53,2,"нед-н"),IF(ISBLANK($N$2),IF(YEAR(TODAY())-$L$2&gt;=E53,1,"нед-н"),IF(YEAR(TODAY())-$N$2&lt;=E53,IF(YEAR(TODAY())-$L$2&gt;=E53,1,"нед-н"),"нед-н")))))),IF(YEAR(TODAY())-$N$5&lt;=E53,IF(YEAR(TODAY())-$L$5&gt;=E53,4,"нед-н"),IF(YEAR(TODAY())-$N$4&lt;=E53,IF(YEAR(TODAY())-$L$4&gt;=E53,3,"нед-н"),IF(YEAR(TODAY())-$N$3&lt;=E53,IF(YEAR(TODAY())-$L$3&gt;=E53,2,"нед-н"),IF(ISBLANK($N$2),IF(YEAR(TODAY())-$L$2&gt;=E53,1,"нед-н"),IF(YEAR(TODAY())-$N$2&lt;=E53,IF(YEAR(TODAY())-$L$2&gt;=E53,1,"нед-н"),"нед-н")))))),"г.р.???")</f>
        <v>г.р.???</v>
      </c>
      <c r="I53" s="372" t="str">
        <f t="shared" si="4"/>
        <v>Фамилия_1 Имя Отчество</v>
      </c>
      <c r="J53" s="369">
        <f t="shared" si="3"/>
        <v>0</v>
      </c>
      <c r="K53" s="261"/>
      <c r="L53" s="268"/>
      <c r="M53" s="261"/>
      <c r="N53" s="262"/>
      <c r="O53" s="262"/>
      <c r="P53" s="262"/>
      <c r="Q53" s="262"/>
      <c r="R53" s="263"/>
      <c r="S53" s="307"/>
      <c r="T53" s="65"/>
      <c r="U53" s="267"/>
      <c r="V53" s="261"/>
      <c r="W53" s="262"/>
      <c r="X53" s="186"/>
      <c r="Y53" s="263"/>
      <c r="Z53" s="261"/>
      <c r="AA53" s="188"/>
      <c r="AB53" s="264"/>
      <c r="AC53" s="188"/>
      <c r="AD53" s="261"/>
      <c r="AE53" s="188"/>
      <c r="AF53" s="264"/>
      <c r="AG53" s="188"/>
      <c r="AH53" s="56"/>
      <c r="AJ53" s="12"/>
      <c r="AK53" s="254"/>
    </row>
    <row r="54" spans="1:37" ht="12" customHeight="1">
      <c r="A54" s="94">
        <f t="shared" si="0"/>
        <v>34</v>
      </c>
      <c r="B54" s="257" t="s">
        <v>23</v>
      </c>
      <c r="C54" s="1057" t="s">
        <v>162</v>
      </c>
      <c r="D54" s="1061" t="s">
        <v>433</v>
      </c>
      <c r="E54" s="1052"/>
      <c r="F54" s="258" t="str">
        <f t="shared" si="1"/>
        <v>Сокращенное Название</v>
      </c>
      <c r="G54" s="259" t="s">
        <v>326</v>
      </c>
      <c r="H54" s="259" t="str">
        <f t="shared" ca="1" si="6"/>
        <v>г.р.???</v>
      </c>
      <c r="I54" s="372" t="str">
        <f t="shared" si="4"/>
        <v>Фамилия_1 Имя Отчество</v>
      </c>
      <c r="J54" s="369">
        <f t="shared" si="3"/>
        <v>0</v>
      </c>
      <c r="K54" s="261"/>
      <c r="L54" s="268"/>
      <c r="M54" s="261"/>
      <c r="N54" s="262"/>
      <c r="O54" s="262"/>
      <c r="P54" s="262"/>
      <c r="Q54" s="262"/>
      <c r="R54" s="263"/>
      <c r="S54" s="307"/>
      <c r="T54" s="65"/>
      <c r="U54" s="267"/>
      <c r="V54" s="261"/>
      <c r="W54" s="262"/>
      <c r="X54" s="186"/>
      <c r="Y54" s="263"/>
      <c r="Z54" s="261"/>
      <c r="AA54" s="188"/>
      <c r="AB54" s="264"/>
      <c r="AC54" s="188"/>
      <c r="AD54" s="261"/>
      <c r="AE54" s="188"/>
      <c r="AF54" s="264"/>
      <c r="AG54" s="188"/>
      <c r="AH54" s="56"/>
      <c r="AJ54" s="12"/>
      <c r="AK54" s="254"/>
    </row>
    <row r="55" spans="1:37" ht="12" customHeight="1">
      <c r="A55" s="94">
        <f t="shared" si="0"/>
        <v>35</v>
      </c>
      <c r="B55" s="257" t="s">
        <v>25</v>
      </c>
      <c r="C55" s="1057" t="s">
        <v>162</v>
      </c>
      <c r="D55" s="1061" t="s">
        <v>433</v>
      </c>
      <c r="E55" s="1052"/>
      <c r="F55" s="258" t="str">
        <f t="shared" si="1"/>
        <v>Сокращенное Название</v>
      </c>
      <c r="G55" s="259" t="s">
        <v>326</v>
      </c>
      <c r="H55" s="259" t="str">
        <f t="shared" ca="1" si="6"/>
        <v>г.р.???</v>
      </c>
      <c r="I55" s="372" t="str">
        <f t="shared" si="4"/>
        <v>Фамилия_1 Имя Отчество</v>
      </c>
      <c r="J55" s="369">
        <f t="shared" si="3"/>
        <v>0</v>
      </c>
      <c r="K55" s="261"/>
      <c r="L55" s="268"/>
      <c r="M55" s="261"/>
      <c r="N55" s="262"/>
      <c r="O55" s="262"/>
      <c r="P55" s="262"/>
      <c r="Q55" s="262"/>
      <c r="R55" s="263"/>
      <c r="S55" s="307"/>
      <c r="T55" s="65"/>
      <c r="U55" s="267"/>
      <c r="V55" s="261"/>
      <c r="W55" s="262"/>
      <c r="X55" s="186"/>
      <c r="Y55" s="263"/>
      <c r="Z55" s="261"/>
      <c r="AA55" s="188"/>
      <c r="AB55" s="264"/>
      <c r="AC55" s="188"/>
      <c r="AD55" s="261"/>
      <c r="AE55" s="188"/>
      <c r="AF55" s="264"/>
      <c r="AG55" s="188"/>
      <c r="AH55" s="56"/>
      <c r="AJ55" s="12"/>
      <c r="AK55" s="254"/>
    </row>
    <row r="56" spans="1:37" ht="12" customHeight="1">
      <c r="A56" s="94">
        <f t="shared" si="0"/>
        <v>36</v>
      </c>
      <c r="B56" s="257" t="s">
        <v>27</v>
      </c>
      <c r="C56" s="1057" t="s">
        <v>162</v>
      </c>
      <c r="D56" s="1061" t="s">
        <v>433</v>
      </c>
      <c r="E56" s="1052"/>
      <c r="F56" s="258" t="str">
        <f t="shared" si="1"/>
        <v>Сокращенное Название</v>
      </c>
      <c r="G56" s="259" t="s">
        <v>326</v>
      </c>
      <c r="H56" s="259" t="str">
        <f t="shared" ca="1" si="6"/>
        <v>г.р.???</v>
      </c>
      <c r="I56" s="372" t="str">
        <f t="shared" si="4"/>
        <v>Фамилия_1 Имя Отчество</v>
      </c>
      <c r="J56" s="369">
        <f t="shared" si="3"/>
        <v>0</v>
      </c>
      <c r="K56" s="261"/>
      <c r="L56" s="268"/>
      <c r="M56" s="261"/>
      <c r="N56" s="262"/>
      <c r="O56" s="262"/>
      <c r="P56" s="262"/>
      <c r="Q56" s="262"/>
      <c r="R56" s="263"/>
      <c r="S56" s="307"/>
      <c r="T56" s="65"/>
      <c r="U56" s="267"/>
      <c r="V56" s="261"/>
      <c r="W56" s="262"/>
      <c r="X56" s="186"/>
      <c r="Y56" s="263"/>
      <c r="Z56" s="261"/>
      <c r="AA56" s="188"/>
      <c r="AB56" s="264"/>
      <c r="AC56" s="188"/>
      <c r="AD56" s="261"/>
      <c r="AE56" s="188"/>
      <c r="AF56" s="264"/>
      <c r="AG56" s="188"/>
      <c r="AH56" s="56"/>
      <c r="AJ56" s="12"/>
      <c r="AK56" s="254"/>
    </row>
    <row r="57" spans="1:37" ht="12" customHeight="1">
      <c r="A57" s="94">
        <f t="shared" si="0"/>
        <v>37</v>
      </c>
      <c r="B57" s="257" t="s">
        <v>29</v>
      </c>
      <c r="C57" s="1057" t="s">
        <v>162</v>
      </c>
      <c r="D57" s="1061" t="s">
        <v>433</v>
      </c>
      <c r="E57" s="1052"/>
      <c r="F57" s="258" t="str">
        <f t="shared" si="1"/>
        <v>Сокращенное Название</v>
      </c>
      <c r="G57" s="259" t="s">
        <v>326</v>
      </c>
      <c r="H57" s="259" t="str">
        <f t="shared" ca="1" si="6"/>
        <v>г.р.???</v>
      </c>
      <c r="I57" s="372" t="str">
        <f t="shared" si="4"/>
        <v>Фамилия_1 Имя Отчество</v>
      </c>
      <c r="J57" s="369">
        <f t="shared" si="3"/>
        <v>0</v>
      </c>
      <c r="K57" s="261"/>
      <c r="L57" s="268"/>
      <c r="M57" s="261"/>
      <c r="N57" s="262"/>
      <c r="O57" s="262"/>
      <c r="P57" s="262"/>
      <c r="Q57" s="262"/>
      <c r="R57" s="263"/>
      <c r="S57" s="307"/>
      <c r="T57" s="65"/>
      <c r="U57" s="267"/>
      <c r="V57" s="261"/>
      <c r="W57" s="262"/>
      <c r="X57" s="186"/>
      <c r="Y57" s="263"/>
      <c r="Z57" s="261"/>
      <c r="AA57" s="188"/>
      <c r="AB57" s="264"/>
      <c r="AC57" s="188"/>
      <c r="AD57" s="261"/>
      <c r="AE57" s="188"/>
      <c r="AF57" s="264"/>
      <c r="AG57" s="188"/>
      <c r="AH57" s="56"/>
      <c r="AJ57" s="12"/>
      <c r="AK57" s="254"/>
    </row>
    <row r="58" spans="1:37" ht="12" customHeight="1">
      <c r="A58" s="94">
        <f t="shared" si="0"/>
        <v>38</v>
      </c>
      <c r="B58" s="257" t="s">
        <v>29</v>
      </c>
      <c r="C58" s="1057" t="s">
        <v>162</v>
      </c>
      <c r="D58" s="1061" t="s">
        <v>433</v>
      </c>
      <c r="E58" s="1052"/>
      <c r="F58" s="258" t="str">
        <f t="shared" si="1"/>
        <v>Сокращенное Название</v>
      </c>
      <c r="G58" s="259" t="s">
        <v>326</v>
      </c>
      <c r="H58" s="259" t="str">
        <f t="shared" ca="1" si="6"/>
        <v>г.р.???</v>
      </c>
      <c r="I58" s="372" t="str">
        <f t="shared" si="4"/>
        <v>Фамилия_1 Имя Отчество</v>
      </c>
      <c r="J58" s="369">
        <f t="shared" si="3"/>
        <v>0</v>
      </c>
      <c r="K58" s="261"/>
      <c r="L58" s="268"/>
      <c r="M58" s="261"/>
      <c r="N58" s="262"/>
      <c r="O58" s="262"/>
      <c r="P58" s="262"/>
      <c r="Q58" s="262"/>
      <c r="R58" s="263"/>
      <c r="S58" s="307"/>
      <c r="T58" s="65"/>
      <c r="U58" s="267"/>
      <c r="V58" s="261"/>
      <c r="W58" s="262"/>
      <c r="X58" s="186"/>
      <c r="Y58" s="263"/>
      <c r="Z58" s="261"/>
      <c r="AA58" s="188"/>
      <c r="AB58" s="264"/>
      <c r="AC58" s="188"/>
      <c r="AD58" s="261"/>
      <c r="AE58" s="188"/>
      <c r="AF58" s="264"/>
      <c r="AG58" s="188"/>
      <c r="AH58" s="56"/>
      <c r="AJ58" s="12"/>
      <c r="AK58" s="254"/>
    </row>
    <row r="59" spans="1:37" ht="12" customHeight="1">
      <c r="A59" s="94">
        <f t="shared" si="0"/>
        <v>39</v>
      </c>
      <c r="B59" s="257" t="s">
        <v>29</v>
      </c>
      <c r="C59" s="1057" t="s">
        <v>162</v>
      </c>
      <c r="D59" s="1061" t="s">
        <v>433</v>
      </c>
      <c r="E59" s="1052"/>
      <c r="F59" s="258" t="str">
        <f t="shared" si="1"/>
        <v>Сокращенное Название</v>
      </c>
      <c r="G59" s="259" t="s">
        <v>326</v>
      </c>
      <c r="H59" s="259" t="str">
        <f t="shared" ca="1" si="6"/>
        <v>г.р.???</v>
      </c>
      <c r="I59" s="372" t="str">
        <f t="shared" si="4"/>
        <v>Фамилия_1 Имя Отчество</v>
      </c>
      <c r="J59" s="369">
        <f t="shared" si="3"/>
        <v>0</v>
      </c>
      <c r="K59" s="261"/>
      <c r="L59" s="268"/>
      <c r="M59" s="261"/>
      <c r="N59" s="262"/>
      <c r="O59" s="262"/>
      <c r="P59" s="262"/>
      <c r="Q59" s="262"/>
      <c r="R59" s="263"/>
      <c r="S59" s="307"/>
      <c r="T59" s="65"/>
      <c r="U59" s="267"/>
      <c r="V59" s="261"/>
      <c r="W59" s="262"/>
      <c r="X59" s="186"/>
      <c r="Y59" s="263"/>
      <c r="Z59" s="261"/>
      <c r="AA59" s="188"/>
      <c r="AB59" s="264"/>
      <c r="AC59" s="188"/>
      <c r="AD59" s="261"/>
      <c r="AE59" s="188"/>
      <c r="AF59" s="264"/>
      <c r="AG59" s="188"/>
      <c r="AH59" s="56"/>
      <c r="AJ59" s="12"/>
      <c r="AK59" s="254"/>
    </row>
    <row r="60" spans="1:37" ht="12" customHeight="1">
      <c r="A60" s="94">
        <f t="shared" si="0"/>
        <v>40</v>
      </c>
      <c r="B60" s="257" t="s">
        <v>29</v>
      </c>
      <c r="C60" s="1057" t="s">
        <v>162</v>
      </c>
      <c r="D60" s="1061" t="s">
        <v>433</v>
      </c>
      <c r="E60" s="1052"/>
      <c r="F60" s="258" t="str">
        <f t="shared" si="1"/>
        <v>Сокращенное Название</v>
      </c>
      <c r="G60" s="259" t="s">
        <v>326</v>
      </c>
      <c r="H60" s="259" t="str">
        <f t="shared" ca="1" si="6"/>
        <v>г.р.???</v>
      </c>
      <c r="I60" s="372" t="str">
        <f t="shared" si="4"/>
        <v>Фамилия_1 Имя Отчество</v>
      </c>
      <c r="J60" s="369">
        <f t="shared" si="3"/>
        <v>0</v>
      </c>
      <c r="K60" s="261"/>
      <c r="L60" s="268"/>
      <c r="M60" s="261"/>
      <c r="N60" s="262"/>
      <c r="O60" s="262"/>
      <c r="P60" s="262"/>
      <c r="Q60" s="262"/>
      <c r="R60" s="263"/>
      <c r="S60" s="307"/>
      <c r="T60" s="65"/>
      <c r="U60" s="267"/>
      <c r="V60" s="261"/>
      <c r="W60" s="262"/>
      <c r="X60" s="186"/>
      <c r="Y60" s="263"/>
      <c r="Z60" s="261"/>
      <c r="AA60" s="188"/>
      <c r="AB60" s="264"/>
      <c r="AC60" s="188"/>
      <c r="AD60" s="261"/>
      <c r="AE60" s="188"/>
      <c r="AF60" s="264"/>
      <c r="AG60" s="188"/>
      <c r="AH60" s="56"/>
      <c r="AJ60" s="12"/>
      <c r="AK60" s="254"/>
    </row>
    <row r="61" spans="1:37" ht="12" customHeight="1">
      <c r="A61" s="94">
        <f t="shared" si="0"/>
        <v>41</v>
      </c>
      <c r="B61" s="66" t="s">
        <v>10</v>
      </c>
      <c r="C61" s="1057" t="s">
        <v>162</v>
      </c>
      <c r="D61" s="1061" t="s">
        <v>433</v>
      </c>
      <c r="E61" s="1052"/>
      <c r="F61" s="258" t="str">
        <f t="shared" si="1"/>
        <v>Сокращенное Название</v>
      </c>
      <c r="G61" s="259" t="s">
        <v>326</v>
      </c>
      <c r="H61" s="259" t="str">
        <f t="shared" ca="1" si="6"/>
        <v>г.р.???</v>
      </c>
      <c r="I61" s="372" t="str">
        <f t="shared" si="4"/>
        <v>Фамилия_1 Имя Отчество</v>
      </c>
      <c r="J61" s="369">
        <f t="shared" si="3"/>
        <v>0</v>
      </c>
      <c r="K61" s="261"/>
      <c r="L61" s="268"/>
      <c r="M61" s="261"/>
      <c r="N61" s="262"/>
      <c r="O61" s="262"/>
      <c r="P61" s="262"/>
      <c r="Q61" s="262"/>
      <c r="R61" s="263"/>
      <c r="S61" s="307"/>
      <c r="T61" s="65"/>
      <c r="U61" s="267"/>
      <c r="V61" s="261"/>
      <c r="W61" s="262"/>
      <c r="X61" s="186"/>
      <c r="Y61" s="263"/>
      <c r="Z61" s="261"/>
      <c r="AA61" s="188"/>
      <c r="AB61" s="264"/>
      <c r="AC61" s="188"/>
      <c r="AD61" s="261"/>
      <c r="AE61" s="188"/>
      <c r="AF61" s="264"/>
      <c r="AG61" s="188"/>
      <c r="AH61" s="56"/>
      <c r="AJ61" s="12"/>
      <c r="AK61" s="254"/>
    </row>
    <row r="62" spans="1:37" ht="12" customHeight="1">
      <c r="A62" s="94">
        <f t="shared" si="0"/>
        <v>42</v>
      </c>
      <c r="B62" s="66" t="s">
        <v>10</v>
      </c>
      <c r="C62" s="1057" t="s">
        <v>162</v>
      </c>
      <c r="D62" s="1061" t="s">
        <v>433</v>
      </c>
      <c r="E62" s="1052"/>
      <c r="F62" s="258" t="str">
        <f t="shared" si="1"/>
        <v>Сокращенное Название</v>
      </c>
      <c r="G62" s="259" t="s">
        <v>326</v>
      </c>
      <c r="H62" s="259" t="str">
        <f t="shared" ca="1" si="6"/>
        <v>г.р.???</v>
      </c>
      <c r="I62" s="372" t="str">
        <f t="shared" si="4"/>
        <v>Фамилия_1 Имя Отчество</v>
      </c>
      <c r="J62" s="369">
        <f t="shared" si="3"/>
        <v>0</v>
      </c>
      <c r="K62" s="261"/>
      <c r="L62" s="268"/>
      <c r="M62" s="261"/>
      <c r="N62" s="262"/>
      <c r="O62" s="262"/>
      <c r="P62" s="262"/>
      <c r="Q62" s="262"/>
      <c r="R62" s="263"/>
      <c r="S62" s="307"/>
      <c r="T62" s="65"/>
      <c r="U62" s="267"/>
      <c r="V62" s="261"/>
      <c r="W62" s="262"/>
      <c r="X62" s="186"/>
      <c r="Y62" s="263"/>
      <c r="Z62" s="261"/>
      <c r="AA62" s="188"/>
      <c r="AB62" s="264"/>
      <c r="AC62" s="188"/>
      <c r="AD62" s="261"/>
      <c r="AE62" s="188"/>
      <c r="AF62" s="264"/>
      <c r="AG62" s="188"/>
      <c r="AH62" s="56"/>
      <c r="AJ62" s="12"/>
      <c r="AK62" s="254"/>
    </row>
    <row r="63" spans="1:37" ht="12" customHeight="1">
      <c r="A63" s="94">
        <f t="shared" si="0"/>
        <v>43</v>
      </c>
      <c r="B63" s="66" t="s">
        <v>10</v>
      </c>
      <c r="C63" s="1057" t="s">
        <v>162</v>
      </c>
      <c r="D63" s="1061" t="s">
        <v>433</v>
      </c>
      <c r="E63" s="1052"/>
      <c r="F63" s="258" t="str">
        <f t="shared" si="1"/>
        <v>Сокращенное Название</v>
      </c>
      <c r="G63" s="259" t="s">
        <v>326</v>
      </c>
      <c r="H63" s="259" t="str">
        <f t="shared" ca="1" si="6"/>
        <v>г.р.???</v>
      </c>
      <c r="I63" s="372" t="str">
        <f t="shared" si="4"/>
        <v>Фамилия_1 Имя Отчество</v>
      </c>
      <c r="J63" s="369">
        <f t="shared" si="3"/>
        <v>0</v>
      </c>
      <c r="K63" s="261"/>
      <c r="L63" s="268"/>
      <c r="M63" s="261"/>
      <c r="N63" s="262"/>
      <c r="O63" s="262"/>
      <c r="P63" s="262"/>
      <c r="Q63" s="262"/>
      <c r="R63" s="263"/>
      <c r="S63" s="307"/>
      <c r="T63" s="65"/>
      <c r="U63" s="267"/>
      <c r="V63" s="261"/>
      <c r="W63" s="262"/>
      <c r="X63" s="186"/>
      <c r="Y63" s="263"/>
      <c r="Z63" s="261"/>
      <c r="AA63" s="188"/>
      <c r="AB63" s="264"/>
      <c r="AC63" s="188"/>
      <c r="AD63" s="261"/>
      <c r="AE63" s="188"/>
      <c r="AF63" s="264"/>
      <c r="AG63" s="188"/>
      <c r="AH63" s="56"/>
      <c r="AJ63" s="12"/>
      <c r="AK63" s="254"/>
    </row>
    <row r="64" spans="1:37" ht="12" customHeight="1">
      <c r="A64" s="94">
        <f t="shared" si="0"/>
        <v>44</v>
      </c>
      <c r="B64" s="66" t="s">
        <v>10</v>
      </c>
      <c r="C64" s="1057" t="s">
        <v>162</v>
      </c>
      <c r="D64" s="1061" t="s">
        <v>433</v>
      </c>
      <c r="E64" s="1052"/>
      <c r="F64" s="258" t="str">
        <f t="shared" si="1"/>
        <v>Сокращенное Название</v>
      </c>
      <c r="G64" s="259" t="s">
        <v>326</v>
      </c>
      <c r="H64" s="259" t="str">
        <f t="shared" ca="1" si="6"/>
        <v>г.р.???</v>
      </c>
      <c r="I64" s="372" t="str">
        <f t="shared" si="4"/>
        <v>Фамилия_1 Имя Отчество</v>
      </c>
      <c r="J64" s="369">
        <f t="shared" si="3"/>
        <v>0</v>
      </c>
      <c r="K64" s="261"/>
      <c r="L64" s="268"/>
      <c r="M64" s="261"/>
      <c r="N64" s="262"/>
      <c r="O64" s="262"/>
      <c r="P64" s="262"/>
      <c r="Q64" s="262"/>
      <c r="R64" s="263"/>
      <c r="S64" s="307"/>
      <c r="T64" s="65"/>
      <c r="U64" s="267"/>
      <c r="V64" s="261"/>
      <c r="W64" s="262"/>
      <c r="X64" s="186"/>
      <c r="Y64" s="263"/>
      <c r="Z64" s="261"/>
      <c r="AA64" s="188"/>
      <c r="AB64" s="264"/>
      <c r="AC64" s="188"/>
      <c r="AD64" s="261"/>
      <c r="AE64" s="188"/>
      <c r="AF64" s="264"/>
      <c r="AG64" s="188"/>
      <c r="AH64" s="56"/>
      <c r="AJ64" s="12"/>
      <c r="AK64" s="254"/>
    </row>
    <row r="65" spans="1:50" ht="12" customHeight="1">
      <c r="A65" s="94">
        <f t="shared" si="0"/>
        <v>45</v>
      </c>
      <c r="B65" s="66" t="s">
        <v>10</v>
      </c>
      <c r="C65" s="1057" t="s">
        <v>162</v>
      </c>
      <c r="D65" s="1061" t="s">
        <v>433</v>
      </c>
      <c r="E65" s="1052"/>
      <c r="F65" s="258" t="str">
        <f t="shared" si="1"/>
        <v>Сокращенное Название</v>
      </c>
      <c r="G65" s="259" t="s">
        <v>326</v>
      </c>
      <c r="H65" s="259" t="str">
        <f t="shared" ca="1" si="6"/>
        <v>г.р.???</v>
      </c>
      <c r="I65" s="372" t="str">
        <f t="shared" si="4"/>
        <v>Фамилия_1 Имя Отчество</v>
      </c>
      <c r="J65" s="369">
        <f t="shared" si="3"/>
        <v>0</v>
      </c>
      <c r="K65" s="261"/>
      <c r="L65" s="268"/>
      <c r="M65" s="261"/>
      <c r="N65" s="262"/>
      <c r="O65" s="262"/>
      <c r="P65" s="262"/>
      <c r="Q65" s="262"/>
      <c r="R65" s="263"/>
      <c r="S65" s="307"/>
      <c r="T65" s="65"/>
      <c r="U65" s="267"/>
      <c r="V65" s="261"/>
      <c r="W65" s="262"/>
      <c r="X65" s="186"/>
      <c r="Y65" s="263"/>
      <c r="Z65" s="261"/>
      <c r="AA65" s="188"/>
      <c r="AB65" s="264"/>
      <c r="AC65" s="188"/>
      <c r="AD65" s="261"/>
      <c r="AE65" s="188"/>
      <c r="AF65" s="264"/>
      <c r="AG65" s="188"/>
      <c r="AH65" s="56"/>
      <c r="AJ65" s="12"/>
      <c r="AK65" s="254"/>
    </row>
    <row r="66" spans="1:50" ht="12" customHeight="1">
      <c r="A66" s="94">
        <f t="shared" si="0"/>
        <v>46</v>
      </c>
      <c r="B66" s="66" t="s">
        <v>11</v>
      </c>
      <c r="C66" s="1057" t="s">
        <v>162</v>
      </c>
      <c r="D66" s="1061" t="s">
        <v>433</v>
      </c>
      <c r="E66" s="1052"/>
      <c r="F66" s="258" t="str">
        <f t="shared" si="1"/>
        <v>Сокращенное Название</v>
      </c>
      <c r="G66" s="259" t="s">
        <v>326</v>
      </c>
      <c r="H66" s="259" t="str">
        <f t="shared" ca="1" si="6"/>
        <v>г.р.???</v>
      </c>
      <c r="I66" s="372" t="str">
        <f t="shared" si="4"/>
        <v>Фамилия_1 Имя Отчество</v>
      </c>
      <c r="J66" s="369">
        <f t="shared" si="3"/>
        <v>0</v>
      </c>
      <c r="K66" s="261"/>
      <c r="L66" s="268"/>
      <c r="M66" s="261"/>
      <c r="N66" s="262"/>
      <c r="O66" s="262"/>
      <c r="P66" s="262"/>
      <c r="Q66" s="262"/>
      <c r="R66" s="263"/>
      <c r="S66" s="307"/>
      <c r="T66" s="65"/>
      <c r="U66" s="267"/>
      <c r="V66" s="261"/>
      <c r="W66" s="262"/>
      <c r="X66" s="186"/>
      <c r="Y66" s="263"/>
      <c r="Z66" s="261"/>
      <c r="AA66" s="188"/>
      <c r="AB66" s="264"/>
      <c r="AC66" s="188"/>
      <c r="AD66" s="261"/>
      <c r="AE66" s="188"/>
      <c r="AF66" s="264"/>
      <c r="AG66" s="188"/>
      <c r="AH66" s="56"/>
      <c r="AJ66" s="12"/>
      <c r="AK66" s="254"/>
    </row>
    <row r="67" spans="1:50" ht="12" customHeight="1">
      <c r="A67" s="94">
        <f t="shared" si="0"/>
        <v>47</v>
      </c>
      <c r="B67" s="66" t="s">
        <v>35</v>
      </c>
      <c r="C67" s="1057" t="s">
        <v>162</v>
      </c>
      <c r="D67" s="1061" t="s">
        <v>433</v>
      </c>
      <c r="E67" s="1052"/>
      <c r="F67" s="258" t="str">
        <f t="shared" si="1"/>
        <v>Сокращенное Название</v>
      </c>
      <c r="G67" s="259" t="s">
        <v>326</v>
      </c>
      <c r="H67" s="259" t="str">
        <f t="shared" ca="1" si="6"/>
        <v>г.р.???</v>
      </c>
      <c r="I67" s="372" t="str">
        <f t="shared" si="4"/>
        <v>Фамилия_1 Имя Отчество</v>
      </c>
      <c r="J67" s="369">
        <f t="shared" si="3"/>
        <v>0</v>
      </c>
      <c r="K67" s="261"/>
      <c r="L67" s="268"/>
      <c r="M67" s="261"/>
      <c r="N67" s="262"/>
      <c r="O67" s="262"/>
      <c r="P67" s="262"/>
      <c r="Q67" s="262"/>
      <c r="R67" s="263"/>
      <c r="S67" s="307"/>
      <c r="T67" s="65"/>
      <c r="U67" s="267"/>
      <c r="V67" s="261"/>
      <c r="W67" s="262"/>
      <c r="X67" s="186"/>
      <c r="Y67" s="263"/>
      <c r="Z67" s="261"/>
      <c r="AA67" s="188"/>
      <c r="AB67" s="264"/>
      <c r="AC67" s="188"/>
      <c r="AD67" s="261"/>
      <c r="AE67" s="188"/>
      <c r="AF67" s="264"/>
      <c r="AG67" s="188"/>
      <c r="AH67" s="56"/>
      <c r="AJ67" s="12"/>
      <c r="AK67" s="254"/>
    </row>
    <row r="68" spans="1:50" ht="12" customHeight="1">
      <c r="A68" s="94">
        <f t="shared" si="0"/>
        <v>48</v>
      </c>
      <c r="B68" s="257" t="s">
        <v>14</v>
      </c>
      <c r="C68" s="1057" t="s">
        <v>162</v>
      </c>
      <c r="D68" s="1061" t="s">
        <v>433</v>
      </c>
      <c r="E68" s="1052"/>
      <c r="F68" s="258" t="str">
        <f t="shared" si="1"/>
        <v>Сокращенное Название</v>
      </c>
      <c r="G68" s="259" t="s">
        <v>326</v>
      </c>
      <c r="H68" s="259" t="str">
        <f t="shared" ca="1" si="6"/>
        <v>г.р.???</v>
      </c>
      <c r="I68" s="372" t="str">
        <f t="shared" si="4"/>
        <v>Фамилия_1 Имя Отчество</v>
      </c>
      <c r="J68" s="369">
        <f t="shared" si="3"/>
        <v>0</v>
      </c>
      <c r="K68" s="261"/>
      <c r="L68" s="268"/>
      <c r="M68" s="261"/>
      <c r="N68" s="262"/>
      <c r="O68" s="262"/>
      <c r="P68" s="262"/>
      <c r="Q68" s="262"/>
      <c r="R68" s="263"/>
      <c r="S68" s="307"/>
      <c r="T68" s="65"/>
      <c r="U68" s="267"/>
      <c r="V68" s="261"/>
      <c r="W68" s="262"/>
      <c r="X68" s="186"/>
      <c r="Y68" s="263"/>
      <c r="Z68" s="261"/>
      <c r="AA68" s="188"/>
      <c r="AB68" s="264"/>
      <c r="AC68" s="188"/>
      <c r="AD68" s="261"/>
      <c r="AE68" s="188"/>
      <c r="AF68" s="264"/>
      <c r="AG68" s="188"/>
      <c r="AH68" s="56"/>
      <c r="AJ68" s="12"/>
      <c r="AK68" s="254"/>
    </row>
    <row r="69" spans="1:50" ht="12" customHeight="1">
      <c r="A69" s="94">
        <f t="shared" si="0"/>
        <v>49</v>
      </c>
      <c r="B69" s="66" t="s">
        <v>35</v>
      </c>
      <c r="C69" s="1057" t="s">
        <v>162</v>
      </c>
      <c r="D69" s="1061" t="s">
        <v>433</v>
      </c>
      <c r="E69" s="1052"/>
      <c r="F69" s="258" t="str">
        <f t="shared" si="1"/>
        <v>Сокращенное Название</v>
      </c>
      <c r="G69" s="259" t="s">
        <v>326</v>
      </c>
      <c r="H69" s="259" t="str">
        <f t="shared" ca="1" si="6"/>
        <v>г.р.???</v>
      </c>
      <c r="I69" s="372" t="str">
        <f t="shared" si="4"/>
        <v>Фамилия_1 Имя Отчество</v>
      </c>
      <c r="J69" s="369">
        <f t="shared" si="3"/>
        <v>0</v>
      </c>
      <c r="K69" s="261"/>
      <c r="L69" s="268"/>
      <c r="M69" s="261"/>
      <c r="N69" s="262"/>
      <c r="O69" s="262"/>
      <c r="P69" s="262"/>
      <c r="Q69" s="262"/>
      <c r="R69" s="263"/>
      <c r="S69" s="307"/>
      <c r="T69" s="65"/>
      <c r="U69" s="267"/>
      <c r="V69" s="261"/>
      <c r="W69" s="262"/>
      <c r="X69" s="186"/>
      <c r="Y69" s="263"/>
      <c r="Z69" s="261"/>
      <c r="AA69" s="188"/>
      <c r="AB69" s="264"/>
      <c r="AC69" s="188"/>
      <c r="AD69" s="261"/>
      <c r="AE69" s="188"/>
      <c r="AF69" s="264"/>
      <c r="AG69" s="188"/>
      <c r="AH69" s="56"/>
      <c r="AJ69" s="12"/>
      <c r="AK69" s="254"/>
    </row>
    <row r="70" spans="1:50" ht="12.75" customHeight="1" thickBot="1">
      <c r="A70" s="96">
        <f t="shared" si="0"/>
        <v>50</v>
      </c>
      <c r="B70" s="99" t="s">
        <v>10</v>
      </c>
      <c r="C70" s="1058" t="s">
        <v>162</v>
      </c>
      <c r="D70" s="97" t="s">
        <v>433</v>
      </c>
      <c r="E70" s="1054"/>
      <c r="F70" s="271" t="str">
        <f t="shared" si="1"/>
        <v>Сокращенное Название</v>
      </c>
      <c r="G70" s="272" t="s">
        <v>326</v>
      </c>
      <c r="H70" s="272" t="str">
        <f t="shared" ca="1" si="6"/>
        <v>г.р.???</v>
      </c>
      <c r="I70" s="373" t="str">
        <f t="shared" si="4"/>
        <v>Фамилия_1 Имя Отчество</v>
      </c>
      <c r="J70" s="370">
        <f>COUNTA(K70:X70)</f>
        <v>0</v>
      </c>
      <c r="K70" s="274"/>
      <c r="L70" s="280"/>
      <c r="M70" s="274"/>
      <c r="N70" s="275"/>
      <c r="O70" s="275"/>
      <c r="P70" s="275"/>
      <c r="Q70" s="275"/>
      <c r="R70" s="276"/>
      <c r="S70" s="274"/>
      <c r="T70" s="67"/>
      <c r="U70" s="198"/>
      <c r="V70" s="308"/>
      <c r="W70" s="275"/>
      <c r="X70" s="280"/>
      <c r="Y70" s="276"/>
      <c r="Z70" s="274"/>
      <c r="AA70" s="516"/>
      <c r="AB70" s="515"/>
      <c r="AC70" s="516"/>
      <c r="AD70" s="274"/>
      <c r="AE70" s="516"/>
      <c r="AF70" s="515"/>
      <c r="AG70" s="516"/>
      <c r="AH70" s="56"/>
      <c r="AJ70" s="12"/>
    </row>
    <row r="71" spans="1:50" ht="10.5" customHeight="1">
      <c r="A71" s="1"/>
      <c r="B71" s="287"/>
      <c r="C71" s="14"/>
      <c r="D71" s="288"/>
      <c r="E71" s="288"/>
      <c r="F71" s="288"/>
      <c r="G71" s="101" t="s">
        <v>110</v>
      </c>
      <c r="I71" s="101" t="s">
        <v>118</v>
      </c>
      <c r="J71" s="327">
        <f>SUMIF(G21:G70,"Ж",J21:J70)</f>
        <v>0</v>
      </c>
      <c r="K71" s="102"/>
      <c r="L71" s="102"/>
      <c r="M71" s="102"/>
      <c r="N71" s="102"/>
      <c r="O71" s="103"/>
      <c r="P71" s="103"/>
      <c r="Q71" s="103"/>
      <c r="R71" s="103"/>
      <c r="S71" s="90"/>
      <c r="T71" s="90"/>
      <c r="U71" s="90"/>
      <c r="V71" s="90"/>
      <c r="W71" s="102"/>
      <c r="X71" s="102"/>
      <c r="Y71" s="102"/>
      <c r="Z71" s="102"/>
      <c r="AA71" s="102"/>
      <c r="AB71" s="102"/>
      <c r="AC71" s="289"/>
      <c r="AD71" s="289"/>
      <c r="AE71" s="102"/>
      <c r="AF71" s="102"/>
      <c r="AG71" s="102"/>
      <c r="AH71" s="102"/>
      <c r="AI71" s="102"/>
      <c r="AJ71" s="102"/>
      <c r="AK71" s="102"/>
      <c r="AL71" s="102"/>
      <c r="AM71" s="90"/>
      <c r="AN71" s="182"/>
      <c r="AO71" s="90"/>
      <c r="AP71" s="182"/>
      <c r="AQ71" s="90"/>
      <c r="AV71" s="4">
        <f>SUM(AV21:AV70)</f>
        <v>0</v>
      </c>
      <c r="AW71" s="4">
        <f>SUM(AW21:AW70)</f>
        <v>0</v>
      </c>
      <c r="AX71" s="4">
        <f>SUM(AX21:AX70)</f>
        <v>0</v>
      </c>
    </row>
    <row r="72" spans="1:50" ht="10.5" customHeight="1">
      <c r="A72" s="1"/>
      <c r="B72" s="287"/>
      <c r="C72" s="14"/>
      <c r="D72" s="288"/>
      <c r="E72" s="288"/>
      <c r="F72" s="288"/>
      <c r="G72" s="101"/>
      <c r="I72" s="101" t="s">
        <v>117</v>
      </c>
      <c r="J72" s="126">
        <f>SUMIF(G21:G70,"М",J21:J70)</f>
        <v>0</v>
      </c>
      <c r="K72" s="102"/>
      <c r="L72" s="102"/>
      <c r="M72" s="102"/>
      <c r="N72" s="102"/>
      <c r="O72" s="103"/>
      <c r="P72" s="103"/>
      <c r="Q72" s="103"/>
      <c r="R72" s="103"/>
      <c r="S72" s="90"/>
      <c r="T72" s="90"/>
      <c r="U72" s="90"/>
      <c r="V72" s="90"/>
      <c r="W72" s="102"/>
      <c r="X72" s="102"/>
      <c r="Y72" s="102"/>
      <c r="Z72" s="102"/>
      <c r="AA72" s="102"/>
      <c r="AB72" s="102"/>
      <c r="AC72" s="289"/>
      <c r="AD72" s="289"/>
      <c r="AE72" s="102"/>
      <c r="AF72" s="102"/>
      <c r="AG72" s="102"/>
      <c r="AH72" s="102"/>
      <c r="AI72" s="102"/>
      <c r="AJ72" s="102"/>
      <c r="AK72" s="102"/>
      <c r="AL72" s="102"/>
      <c r="AM72" s="90"/>
      <c r="AN72" s="182"/>
      <c r="AO72" s="90"/>
      <c r="AP72" s="182"/>
      <c r="AQ72" s="90"/>
      <c r="AV72" s="4"/>
      <c r="AW72" s="4"/>
      <c r="AX72" s="4"/>
    </row>
    <row r="73" spans="1:50" ht="10.5" customHeight="1">
      <c r="A73" s="1"/>
      <c r="B73" s="287"/>
      <c r="C73" s="14"/>
      <c r="D73" s="288"/>
      <c r="E73" s="288"/>
      <c r="F73" s="288"/>
      <c r="H73" s="101"/>
      <c r="I73" s="101" t="s">
        <v>110</v>
      </c>
      <c r="J73" s="127">
        <f>SUM(J21:J70)</f>
        <v>0</v>
      </c>
      <c r="K73" s="127"/>
      <c r="L73" s="102"/>
      <c r="M73" s="102"/>
      <c r="N73" s="102"/>
      <c r="O73" s="102"/>
      <c r="P73" s="103"/>
      <c r="Q73" s="103"/>
      <c r="R73" s="103"/>
      <c r="S73" s="103"/>
      <c r="T73" s="90"/>
      <c r="U73" s="90"/>
      <c r="V73" s="90"/>
      <c r="W73" s="90"/>
      <c r="X73" s="102"/>
      <c r="Y73" s="102"/>
      <c r="Z73" s="102"/>
      <c r="AA73" s="102"/>
      <c r="AB73" s="102"/>
      <c r="AC73" s="289"/>
      <c r="AD73" s="102"/>
      <c r="AE73" s="102"/>
      <c r="AF73" s="102"/>
      <c r="AG73" s="289"/>
      <c r="AH73" s="289"/>
      <c r="AI73" s="102"/>
      <c r="AJ73" s="102"/>
      <c r="AK73" s="102"/>
      <c r="AL73" s="102"/>
      <c r="AM73" s="102"/>
      <c r="AN73" s="90"/>
      <c r="AO73" s="182"/>
      <c r="AP73" s="90"/>
      <c r="AQ73" s="182"/>
      <c r="AR73" s="90"/>
      <c r="AS73" s="182"/>
      <c r="AT73" s="90"/>
      <c r="AU73" s="4"/>
      <c r="AV73" s="4"/>
      <c r="AW73" s="4"/>
    </row>
    <row r="74" spans="1:50">
      <c r="B74" s="2"/>
      <c r="E74" s="4"/>
      <c r="F74" s="4"/>
      <c r="G74" s="2"/>
      <c r="I74" s="2"/>
      <c r="J74" s="2"/>
      <c r="K74" s="2"/>
      <c r="L74" s="125"/>
      <c r="M74" s="60"/>
      <c r="N74" s="60"/>
      <c r="O74" s="60"/>
      <c r="P74" s="58"/>
      <c r="Q74" s="58"/>
      <c r="AI74" s="102"/>
      <c r="AJ74" s="102"/>
      <c r="AK74" s="102"/>
      <c r="AL74" s="102"/>
      <c r="AM74" s="102"/>
      <c r="AN74" s="90"/>
      <c r="AO74" s="182"/>
      <c r="AP74" s="90"/>
      <c r="AQ74" s="182"/>
      <c r="AR74" s="90"/>
      <c r="AS74" s="182"/>
      <c r="AT74" s="59"/>
      <c r="AU74" s="3"/>
      <c r="AV74" s="3"/>
      <c r="AW74" s="3"/>
    </row>
    <row r="75" spans="1:50" ht="15" customHeight="1">
      <c r="A75" s="517" t="s">
        <v>111</v>
      </c>
      <c r="B75" s="2"/>
      <c r="C75" s="2"/>
      <c r="E75" s="518" t="s">
        <v>222</v>
      </c>
      <c r="F75" s="4"/>
      <c r="G75" s="2"/>
      <c r="I75" s="2"/>
      <c r="J75" s="2"/>
      <c r="K75" s="2"/>
      <c r="L75" s="60"/>
      <c r="M75" s="60"/>
      <c r="N75" s="60"/>
      <c r="O75" s="16"/>
      <c r="P75" s="458"/>
      <c r="Q75" s="458"/>
      <c r="R75" s="458"/>
      <c r="S75" s="458"/>
      <c r="T75" s="458"/>
      <c r="U75" s="458"/>
      <c r="V75" s="458"/>
      <c r="W75" s="458"/>
      <c r="X75" s="458"/>
      <c r="AI75" s="102"/>
      <c r="AJ75" s="102"/>
      <c r="AK75" s="102"/>
      <c r="AL75" s="102"/>
      <c r="AM75" s="102"/>
      <c r="AN75" s="90"/>
      <c r="AO75" s="182"/>
      <c r="AP75" s="90"/>
      <c r="AQ75" s="182"/>
      <c r="AR75" s="90"/>
      <c r="AS75" s="182"/>
      <c r="AT75" s="59"/>
      <c r="AU75" s="3"/>
      <c r="AV75" s="3"/>
      <c r="AW75" s="3"/>
    </row>
    <row r="76" spans="1:50" ht="15" customHeight="1">
      <c r="A76" s="517" t="s">
        <v>111</v>
      </c>
      <c r="B76" s="2"/>
      <c r="C76" s="2"/>
      <c r="E76" s="518" t="s">
        <v>223</v>
      </c>
      <c r="F76" s="4"/>
      <c r="G76" s="2"/>
      <c r="I76" s="2"/>
      <c r="J76" s="2"/>
      <c r="K76" s="2"/>
      <c r="L76" s="60"/>
      <c r="M76" s="60"/>
      <c r="N76" s="60"/>
      <c r="O76" s="458"/>
      <c r="P76" s="458"/>
      <c r="Q76" s="458"/>
      <c r="R76" s="458"/>
      <c r="S76" s="458"/>
      <c r="T76" s="458"/>
      <c r="U76" s="458"/>
      <c r="V76" s="458"/>
      <c r="W76" s="458"/>
      <c r="X76" s="458"/>
      <c r="AI76" s="102"/>
      <c r="AJ76" s="102"/>
      <c r="AK76" s="102"/>
      <c r="AL76" s="102"/>
      <c r="AM76" s="102"/>
      <c r="AN76" s="90"/>
      <c r="AO76" s="182"/>
      <c r="AP76" s="90"/>
      <c r="AQ76" s="182"/>
      <c r="AR76" s="90"/>
      <c r="AS76" s="182"/>
      <c r="AT76" s="59"/>
      <c r="AU76" s="3"/>
      <c r="AV76" s="3"/>
      <c r="AW76" s="3"/>
    </row>
    <row r="77" spans="1:50" ht="15" customHeight="1">
      <c r="A77" s="517" t="s">
        <v>111</v>
      </c>
      <c r="B77" s="2"/>
      <c r="C77" s="2"/>
      <c r="D77" s="104"/>
      <c r="E77" s="518" t="s">
        <v>224</v>
      </c>
      <c r="F77" s="4"/>
      <c r="G77" s="2"/>
      <c r="I77" s="2"/>
      <c r="J77" s="2"/>
      <c r="K77" s="2"/>
      <c r="L77" s="60"/>
      <c r="M77" s="60"/>
      <c r="N77" s="60"/>
      <c r="O77" s="458"/>
      <c r="P77" s="458"/>
      <c r="Q77" s="458"/>
      <c r="R77" s="458"/>
      <c r="S77" s="458"/>
      <c r="T77" s="458"/>
      <c r="U77" s="458"/>
      <c r="V77" s="458"/>
      <c r="W77" s="458"/>
      <c r="X77" s="458"/>
      <c r="AI77" s="102"/>
      <c r="AJ77" s="102"/>
      <c r="AK77" s="102"/>
      <c r="AL77" s="102"/>
      <c r="AM77" s="102"/>
      <c r="AN77" s="90"/>
      <c r="AO77" s="182"/>
      <c r="AP77" s="90"/>
      <c r="AQ77" s="182"/>
      <c r="AR77" s="90"/>
      <c r="AS77" s="182"/>
      <c r="AT77" s="59"/>
      <c r="AU77" s="3"/>
      <c r="AV77" s="3"/>
      <c r="AW77" s="3"/>
    </row>
    <row r="78" spans="1:50" s="351" customFormat="1" ht="35.25" customHeight="1">
      <c r="A78" s="349"/>
      <c r="B78" s="350"/>
      <c r="C78" s="350"/>
      <c r="D78" s="350"/>
      <c r="E78" s="350"/>
      <c r="F78" s="350"/>
      <c r="G78" s="350"/>
      <c r="H78" s="350"/>
      <c r="I78" s="350"/>
      <c r="J78" s="350"/>
      <c r="K78" s="350"/>
      <c r="L78" s="350"/>
      <c r="M78" s="350"/>
      <c r="N78" s="350"/>
      <c r="O78" s="350"/>
      <c r="P78" s="350"/>
      <c r="Q78" s="350"/>
      <c r="R78" s="350"/>
      <c r="S78" s="350"/>
      <c r="T78" s="350"/>
      <c r="U78" s="350"/>
      <c r="V78" s="350"/>
      <c r="W78" s="350"/>
      <c r="AK78" s="330"/>
      <c r="AL78" s="330"/>
      <c r="AM78" s="330"/>
      <c r="AN78" s="331"/>
      <c r="AO78" s="332"/>
      <c r="AP78" s="331"/>
      <c r="AQ78" s="332"/>
      <c r="AR78" s="331"/>
      <c r="AS78" s="332"/>
      <c r="AT78" s="329"/>
      <c r="AU78" s="333"/>
      <c r="AV78" s="333"/>
      <c r="AW78" s="333"/>
    </row>
    <row r="79" spans="1:50">
      <c r="A79" s="13"/>
      <c r="B79" s="328"/>
      <c r="C79" s="328"/>
      <c r="D79" s="328"/>
      <c r="E79" s="328"/>
      <c r="F79" s="328"/>
      <c r="G79" s="328"/>
      <c r="H79" s="328"/>
      <c r="I79" s="328"/>
      <c r="J79" s="328"/>
      <c r="K79" s="328"/>
      <c r="L79" s="328"/>
      <c r="M79" s="328"/>
      <c r="N79" s="328"/>
      <c r="O79" s="328"/>
      <c r="P79" s="328"/>
      <c r="Q79" s="328"/>
      <c r="R79" s="328"/>
      <c r="S79" s="328"/>
      <c r="T79" s="328"/>
      <c r="U79" s="328"/>
      <c r="V79" s="328"/>
      <c r="W79" s="328"/>
      <c r="AK79" s="102"/>
      <c r="AL79" s="102"/>
      <c r="AM79" s="102"/>
      <c r="AN79" s="90"/>
      <c r="AO79" s="182"/>
      <c r="AP79" s="90"/>
      <c r="AQ79" s="182"/>
      <c r="AR79" s="90"/>
      <c r="AS79" s="182"/>
      <c r="AT79" s="59"/>
      <c r="AU79" s="3"/>
      <c r="AV79" s="3"/>
      <c r="AW79" s="3"/>
    </row>
    <row r="80" spans="1:50" s="292" customFormat="1" ht="18.75">
      <c r="A80" s="490"/>
      <c r="B80" s="171" t="s">
        <v>367</v>
      </c>
      <c r="C80" s="488"/>
      <c r="D80" s="487"/>
      <c r="E80" s="491"/>
      <c r="F80" s="491"/>
      <c r="G80" s="488"/>
      <c r="H80" s="488"/>
      <c r="I80" s="488"/>
      <c r="J80" s="488"/>
      <c r="K80" s="488"/>
      <c r="L80" s="492"/>
      <c r="M80" s="492"/>
      <c r="N80" s="492"/>
      <c r="O80" s="492"/>
      <c r="P80" s="493"/>
      <c r="Q80" s="493"/>
      <c r="R80" s="493"/>
      <c r="S80" s="493"/>
      <c r="T80" s="494"/>
      <c r="U80" s="494"/>
      <c r="V80" s="494"/>
      <c r="W80" s="494"/>
      <c r="AK80" s="495"/>
      <c r="AL80" s="495"/>
      <c r="AM80" s="495"/>
      <c r="AN80" s="496"/>
      <c r="AO80" s="497"/>
      <c r="AP80" s="496"/>
      <c r="AQ80" s="497"/>
      <c r="AR80" s="496"/>
      <c r="AS80" s="497"/>
      <c r="AT80" s="494"/>
      <c r="AU80" s="498"/>
      <c r="AV80" s="498"/>
      <c r="AW80" s="498"/>
    </row>
    <row r="81" spans="1:49" s="292" customFormat="1" ht="18.75">
      <c r="A81" s="204"/>
      <c r="B81" s="486" t="s">
        <v>234</v>
      </c>
      <c r="C81" s="174"/>
      <c r="D81" s="489"/>
      <c r="E81" s="175"/>
      <c r="F81" s="175"/>
      <c r="G81" s="174"/>
      <c r="H81" s="174"/>
      <c r="I81" s="174"/>
      <c r="J81" s="174"/>
      <c r="K81" s="174"/>
      <c r="L81" s="206"/>
      <c r="M81" s="207"/>
      <c r="N81" s="207"/>
      <c r="O81" s="208"/>
      <c r="P81" s="208"/>
      <c r="Q81" s="206"/>
      <c r="R81" s="206"/>
      <c r="S81" s="206"/>
      <c r="T81" s="208"/>
      <c r="U81" s="499"/>
      <c r="V81" s="208"/>
      <c r="W81" s="205"/>
    </row>
    <row r="82" spans="1:49" s="292" customFormat="1" ht="18.75">
      <c r="A82" s="490"/>
      <c r="B82" s="488" t="s">
        <v>262</v>
      </c>
      <c r="C82" s="488"/>
      <c r="D82" s="487"/>
      <c r="E82" s="491"/>
      <c r="F82" s="491"/>
      <c r="G82" s="488"/>
      <c r="H82" s="488"/>
      <c r="I82" s="488"/>
      <c r="J82" s="488"/>
      <c r="K82" s="488"/>
      <c r="L82" s="492"/>
      <c r="M82" s="492"/>
      <c r="N82" s="492"/>
      <c r="O82" s="492"/>
      <c r="P82" s="493"/>
      <c r="Q82" s="493"/>
      <c r="R82" s="493"/>
      <c r="S82" s="493"/>
      <c r="T82" s="494"/>
      <c r="U82" s="494"/>
      <c r="V82" s="494"/>
      <c r="W82" s="494"/>
      <c r="X82" s="492"/>
      <c r="Y82" s="492"/>
      <c r="Z82" s="492"/>
      <c r="AA82" s="492"/>
      <c r="AB82" s="492"/>
      <c r="AC82" s="492"/>
      <c r="AD82" s="492"/>
      <c r="AE82" s="492"/>
      <c r="AF82" s="492"/>
      <c r="AG82" s="492"/>
      <c r="AH82" s="492"/>
      <c r="AI82" s="495"/>
      <c r="AJ82" s="495"/>
      <c r="AK82" s="495"/>
      <c r="AL82" s="495"/>
      <c r="AM82" s="495"/>
      <c r="AN82" s="496"/>
      <c r="AO82" s="497"/>
      <c r="AP82" s="496"/>
      <c r="AQ82" s="497"/>
      <c r="AR82" s="496"/>
      <c r="AS82" s="497"/>
      <c r="AT82" s="494"/>
      <c r="AU82" s="498"/>
      <c r="AV82" s="498"/>
      <c r="AW82" s="498"/>
    </row>
    <row r="83" spans="1:49" s="292" customFormat="1" ht="18.75">
      <c r="A83" s="490"/>
      <c r="B83" s="171"/>
      <c r="C83" s="488"/>
      <c r="D83" s="487"/>
      <c r="E83" s="491"/>
      <c r="F83" s="491"/>
      <c r="G83" s="488"/>
      <c r="H83" s="488"/>
      <c r="I83" s="488"/>
      <c r="J83" s="488"/>
      <c r="K83" s="488"/>
      <c r="L83" s="492"/>
      <c r="M83" s="492"/>
      <c r="N83" s="492"/>
      <c r="O83" s="492"/>
      <c r="P83" s="493"/>
      <c r="Q83" s="493"/>
      <c r="R83" s="493"/>
      <c r="S83" s="493"/>
      <c r="T83" s="494"/>
      <c r="U83" s="494"/>
      <c r="V83" s="494"/>
      <c r="W83" s="494"/>
      <c r="X83" s="492"/>
      <c r="Y83" s="492"/>
      <c r="Z83" s="492"/>
      <c r="AA83" s="492"/>
      <c r="AB83" s="492"/>
      <c r="AC83" s="492"/>
      <c r="AD83" s="492"/>
      <c r="AE83" s="492"/>
      <c r="AF83" s="492"/>
      <c r="AG83" s="492"/>
      <c r="AH83" s="492"/>
      <c r="AI83" s="495"/>
      <c r="AJ83" s="495"/>
      <c r="AK83" s="495"/>
      <c r="AL83" s="495"/>
      <c r="AM83" s="495"/>
      <c r="AN83" s="496"/>
      <c r="AO83" s="497"/>
      <c r="AP83" s="496"/>
      <c r="AQ83" s="497"/>
      <c r="AR83" s="496"/>
      <c r="AS83" s="497"/>
      <c r="AT83" s="494"/>
      <c r="AU83" s="498"/>
      <c r="AV83" s="498"/>
      <c r="AW83" s="498"/>
    </row>
    <row r="84" spans="1:49" s="292" customFormat="1" ht="18.75">
      <c r="A84" s="490"/>
      <c r="B84" s="174" t="s">
        <v>260</v>
      </c>
      <c r="C84" s="488"/>
      <c r="D84" s="487"/>
      <c r="E84" s="491"/>
      <c r="F84" s="491"/>
      <c r="G84" s="488"/>
      <c r="H84" s="488"/>
      <c r="I84" s="488"/>
      <c r="J84" s="488"/>
      <c r="K84" s="488"/>
      <c r="L84" s="492"/>
      <c r="M84" s="493"/>
      <c r="N84" s="493"/>
      <c r="O84" s="494"/>
      <c r="P84" s="494"/>
      <c r="Q84" s="495"/>
      <c r="R84" s="495"/>
      <c r="S84" s="495"/>
      <c r="T84" s="496"/>
      <c r="U84" s="497"/>
      <c r="V84" s="494"/>
      <c r="W84" s="498"/>
      <c r="X84" s="498"/>
    </row>
    <row r="85" spans="1:49" s="292" customFormat="1" ht="18.75" customHeight="1">
      <c r="A85" s="204"/>
      <c r="B85" s="174" t="s">
        <v>261</v>
      </c>
      <c r="C85" s="363"/>
      <c r="D85" s="363"/>
      <c r="E85" s="363"/>
      <c r="F85" s="363"/>
      <c r="G85" s="363"/>
      <c r="H85" s="363"/>
      <c r="I85" s="363"/>
      <c r="J85" s="363"/>
      <c r="K85" s="363"/>
      <c r="L85" s="363"/>
      <c r="M85" s="363"/>
      <c r="N85" s="363"/>
      <c r="O85" s="363"/>
      <c r="P85" s="363"/>
      <c r="Q85" s="363"/>
      <c r="R85" s="363"/>
      <c r="S85" s="363"/>
      <c r="T85" s="363"/>
      <c r="U85" s="363"/>
      <c r="V85" s="363"/>
      <c r="W85" s="363"/>
      <c r="X85" s="363"/>
      <c r="Y85" s="363"/>
      <c r="Z85" s="363"/>
      <c r="AA85" s="363"/>
      <c r="AB85" s="363"/>
      <c r="AC85" s="363"/>
      <c r="AD85" s="363"/>
      <c r="AE85" s="363"/>
      <c r="AF85" s="363"/>
      <c r="AG85" s="363"/>
      <c r="AH85" s="363"/>
      <c r="AI85" s="363"/>
    </row>
    <row r="86" spans="1:49" s="292" customFormat="1" ht="18.75" customHeight="1">
      <c r="A86" s="204"/>
      <c r="B86" s="174" t="s">
        <v>369</v>
      </c>
      <c r="C86" s="363"/>
      <c r="D86" s="363"/>
      <c r="E86" s="363"/>
      <c r="F86" s="363"/>
      <c r="G86" s="363"/>
      <c r="H86" s="363"/>
      <c r="I86" s="363"/>
      <c r="J86" s="363"/>
      <c r="K86" s="363"/>
      <c r="L86" s="363"/>
      <c r="M86" s="363"/>
      <c r="N86" s="363"/>
      <c r="O86" s="363"/>
      <c r="P86" s="363"/>
      <c r="Q86" s="363"/>
      <c r="R86" s="363"/>
      <c r="S86" s="363"/>
      <c r="T86" s="363"/>
      <c r="U86" s="363"/>
      <c r="V86" s="363"/>
      <c r="W86" s="363"/>
      <c r="X86" s="363"/>
      <c r="Y86" s="363"/>
      <c r="Z86" s="363"/>
      <c r="AA86" s="363"/>
      <c r="AB86" s="363"/>
      <c r="AC86" s="363"/>
      <c r="AD86" s="363"/>
      <c r="AE86" s="363"/>
      <c r="AF86" s="363"/>
      <c r="AG86" s="363"/>
      <c r="AH86" s="363"/>
      <c r="AI86" s="363"/>
    </row>
    <row r="87" spans="1:49" s="292" customFormat="1" ht="18.75">
      <c r="A87" s="204"/>
      <c r="B87" s="487" t="s">
        <v>368</v>
      </c>
      <c r="C87" s="174"/>
      <c r="D87" s="489"/>
      <c r="E87" s="175"/>
      <c r="F87" s="175"/>
      <c r="G87" s="174"/>
      <c r="H87" s="174"/>
      <c r="I87" s="174"/>
      <c r="J87" s="174"/>
      <c r="K87" s="174"/>
      <c r="L87" s="206"/>
      <c r="M87" s="207"/>
      <c r="N87" s="207"/>
      <c r="O87" s="208"/>
      <c r="P87" s="208"/>
      <c r="Q87" s="206"/>
      <c r="R87" s="206"/>
      <c r="S87" s="206"/>
      <c r="T87" s="208"/>
      <c r="U87" s="499"/>
      <c r="V87" s="208"/>
      <c r="W87" s="205"/>
      <c r="X87" s="205"/>
    </row>
    <row r="88" spans="1:49" s="292" customFormat="1" ht="18.75">
      <c r="A88" s="204"/>
      <c r="B88" s="488" t="s">
        <v>366</v>
      </c>
      <c r="C88" s="174"/>
      <c r="D88" s="489"/>
      <c r="E88" s="175"/>
      <c r="F88" s="175"/>
      <c r="G88" s="174"/>
      <c r="H88" s="174"/>
      <c r="I88" s="174"/>
      <c r="J88" s="174"/>
      <c r="K88" s="174"/>
      <c r="L88" s="206"/>
      <c r="M88" s="207"/>
      <c r="N88" s="207"/>
      <c r="O88" s="208"/>
      <c r="P88" s="208"/>
      <c r="Q88" s="206"/>
      <c r="R88" s="206"/>
      <c r="S88" s="206"/>
      <c r="T88" s="208"/>
      <c r="U88" s="488"/>
      <c r="V88" s="208"/>
      <c r="W88" s="205"/>
      <c r="X88" s="205"/>
    </row>
    <row r="89" spans="1:49" s="292" customFormat="1" ht="18.75">
      <c r="A89" s="204"/>
      <c r="B89" s="487" t="s">
        <v>236</v>
      </c>
      <c r="C89" s="174"/>
      <c r="D89" s="489"/>
      <c r="E89" s="175"/>
      <c r="F89" s="175"/>
      <c r="G89" s="174"/>
      <c r="H89" s="174"/>
      <c r="I89" s="174"/>
      <c r="J89" s="174"/>
      <c r="K89" s="174"/>
      <c r="L89" s="206"/>
      <c r="M89" s="207"/>
      <c r="N89" s="207"/>
      <c r="O89" s="208"/>
      <c r="P89" s="208"/>
      <c r="Q89" s="206"/>
      <c r="R89" s="206"/>
      <c r="S89" s="206"/>
      <c r="T89" s="208"/>
      <c r="U89" s="174"/>
      <c r="V89" s="208"/>
      <c r="W89" s="205"/>
      <c r="X89" s="205"/>
    </row>
    <row r="90" spans="1:49" s="292" customFormat="1" ht="18.75">
      <c r="A90" s="500"/>
      <c r="B90" s="487" t="s">
        <v>264</v>
      </c>
      <c r="C90" s="211"/>
      <c r="D90" s="500"/>
      <c r="E90" s="501"/>
      <c r="F90" s="501"/>
      <c r="G90" s="211"/>
      <c r="H90" s="211"/>
      <c r="I90" s="211"/>
      <c r="J90" s="211"/>
      <c r="K90" s="211"/>
      <c r="L90" s="502"/>
      <c r="M90" s="503"/>
      <c r="N90" s="503"/>
      <c r="O90" s="504"/>
      <c r="P90" s="504"/>
      <c r="Q90" s="502"/>
      <c r="R90" s="502"/>
      <c r="S90" s="502"/>
      <c r="T90" s="504"/>
      <c r="U90" s="488"/>
      <c r="V90" s="504"/>
      <c r="W90" s="500"/>
      <c r="X90" s="500"/>
    </row>
    <row r="91" spans="1:49" s="292" customFormat="1" ht="18.75">
      <c r="A91" s="204"/>
      <c r="B91" s="489" t="s">
        <v>265</v>
      </c>
      <c r="C91" s="174"/>
      <c r="D91" s="489"/>
      <c r="E91" s="175"/>
      <c r="F91" s="175"/>
      <c r="G91" s="174"/>
      <c r="H91" s="174"/>
      <c r="I91" s="174"/>
      <c r="J91" s="174"/>
      <c r="K91" s="488" t="s">
        <v>23</v>
      </c>
      <c r="L91" s="505" t="s">
        <v>25</v>
      </c>
      <c r="M91" s="506"/>
      <c r="N91" s="507" t="s">
        <v>27</v>
      </c>
      <c r="O91" s="507" t="s">
        <v>29</v>
      </c>
      <c r="P91" s="498" t="s">
        <v>1</v>
      </c>
      <c r="Q91" s="508" t="s">
        <v>13</v>
      </c>
      <c r="R91" s="508" t="s">
        <v>14</v>
      </c>
      <c r="S91" s="498" t="s">
        <v>35</v>
      </c>
      <c r="T91" s="508" t="s">
        <v>10</v>
      </c>
      <c r="U91" s="508" t="s">
        <v>11</v>
      </c>
      <c r="V91" s="508" t="s">
        <v>15</v>
      </c>
      <c r="W91" s="205"/>
    </row>
    <row r="92" spans="1:49" s="292" customFormat="1" ht="54.75" customHeight="1">
      <c r="A92" s="174"/>
      <c r="B92" s="1708" t="s">
        <v>266</v>
      </c>
      <c r="C92" s="1708"/>
      <c r="D92" s="1708"/>
      <c r="E92" s="1708"/>
      <c r="F92" s="1708"/>
      <c r="G92" s="1708"/>
      <c r="H92" s="1708"/>
      <c r="I92" s="1708"/>
      <c r="J92" s="1708"/>
      <c r="K92" s="1708"/>
      <c r="L92" s="1708"/>
      <c r="M92" s="1708"/>
      <c r="N92" s="1708"/>
      <c r="O92" s="1708"/>
      <c r="P92" s="1708"/>
      <c r="Q92" s="1708"/>
      <c r="R92" s="1708"/>
      <c r="S92" s="1708"/>
      <c r="T92" s="1708"/>
      <c r="U92" s="1708"/>
      <c r="V92" s="1708"/>
      <c r="W92" s="1708"/>
      <c r="X92" s="1708"/>
      <c r="Y92" s="1708"/>
      <c r="Z92" s="1708"/>
      <c r="AA92" s="1708"/>
      <c r="AB92" s="1708"/>
      <c r="AC92" s="1708"/>
      <c r="AD92" s="1708"/>
      <c r="AE92" s="1708"/>
      <c r="AF92" s="1708"/>
      <c r="AG92" s="1708"/>
      <c r="AH92" s="1708"/>
      <c r="AI92" s="1708"/>
      <c r="AJ92" s="1708"/>
      <c r="AK92" s="1708"/>
      <c r="AL92" s="1708"/>
      <c r="AM92" s="1708"/>
      <c r="AN92" s="1708"/>
      <c r="AO92" s="1708"/>
      <c r="AP92" s="1708"/>
    </row>
    <row r="93" spans="1:49" s="292" customFormat="1" ht="18.75">
      <c r="A93" s="174"/>
      <c r="B93" s="1708" t="s">
        <v>267</v>
      </c>
      <c r="C93" s="1708"/>
      <c r="D93" s="1708"/>
      <c r="E93" s="1708"/>
      <c r="F93" s="1708"/>
      <c r="G93" s="1708"/>
      <c r="H93" s="1708"/>
      <c r="I93" s="1708"/>
      <c r="J93" s="1708"/>
      <c r="K93" s="1708"/>
      <c r="L93" s="1708"/>
      <c r="M93" s="1708"/>
      <c r="N93" s="1708"/>
      <c r="O93" s="1708"/>
      <c r="P93" s="1708"/>
      <c r="Q93" s="1708"/>
      <c r="R93" s="1708"/>
      <c r="S93" s="1708"/>
      <c r="T93" s="1708"/>
      <c r="U93" s="1708"/>
      <c r="V93" s="482"/>
      <c r="W93" s="205"/>
      <c r="X93" s="205"/>
    </row>
    <row r="94" spans="1:49" s="292" customFormat="1" ht="18.75">
      <c r="A94" s="174"/>
      <c r="B94" s="204" t="s">
        <v>268</v>
      </c>
      <c r="C94" s="482"/>
      <c r="D94" s="482"/>
      <c r="E94" s="482"/>
      <c r="F94" s="482"/>
      <c r="G94" s="482"/>
      <c r="H94" s="482"/>
      <c r="I94" s="482"/>
      <c r="J94" s="482"/>
      <c r="K94" s="482"/>
      <c r="L94" s="210"/>
      <c r="M94" s="210"/>
      <c r="N94" s="210"/>
      <c r="O94" s="210"/>
      <c r="P94" s="210"/>
      <c r="Q94" s="210"/>
      <c r="R94" s="210"/>
      <c r="S94" s="210"/>
      <c r="T94" s="210"/>
      <c r="U94" s="211"/>
      <c r="V94" s="210"/>
      <c r="W94" s="212"/>
      <c r="X94" s="212"/>
    </row>
    <row r="95" spans="1:49" s="292" customFormat="1" ht="37.5" customHeight="1">
      <c r="A95" s="174"/>
      <c r="B95" s="1708" t="s">
        <v>269</v>
      </c>
      <c r="C95" s="1708"/>
      <c r="D95" s="1708"/>
      <c r="E95" s="1708"/>
      <c r="F95" s="1708"/>
      <c r="G95" s="1708"/>
      <c r="H95" s="1708"/>
      <c r="I95" s="1708"/>
      <c r="J95" s="1708"/>
      <c r="K95" s="1708"/>
      <c r="L95" s="1708"/>
      <c r="M95" s="1708"/>
      <c r="N95" s="1708"/>
      <c r="O95" s="1708"/>
      <c r="P95" s="1708"/>
      <c r="Q95" s="1708"/>
      <c r="R95" s="1708"/>
      <c r="S95" s="1708"/>
      <c r="T95" s="1708"/>
      <c r="U95" s="1708"/>
      <c r="V95" s="1708"/>
      <c r="W95" s="1708"/>
      <c r="X95" s="1708"/>
      <c r="Y95" s="1708"/>
      <c r="Z95" s="1708"/>
      <c r="AA95" s="1708"/>
      <c r="AB95" s="1708"/>
      <c r="AC95" s="1708"/>
      <c r="AD95" s="1708"/>
      <c r="AE95" s="1708"/>
      <c r="AF95" s="1708"/>
      <c r="AG95" s="1708"/>
      <c r="AH95" s="1708"/>
      <c r="AI95" s="1708"/>
      <c r="AJ95" s="1708"/>
      <c r="AK95" s="1708"/>
      <c r="AL95" s="1708"/>
      <c r="AM95" s="1708"/>
      <c r="AN95" s="1708"/>
      <c r="AO95" s="1708"/>
      <c r="AP95" s="1708"/>
    </row>
    <row r="96" spans="1:49" s="292" customFormat="1" ht="18.75">
      <c r="A96" s="174"/>
      <c r="B96" s="482"/>
      <c r="C96" s="482"/>
      <c r="D96" s="482"/>
      <c r="E96" s="482"/>
      <c r="F96" s="482"/>
      <c r="G96" s="482"/>
      <c r="H96" s="482"/>
      <c r="I96" s="482"/>
      <c r="J96" s="482"/>
      <c r="K96" s="482"/>
      <c r="L96" s="210"/>
      <c r="M96" s="210"/>
      <c r="N96" s="210"/>
      <c r="O96" s="210"/>
      <c r="P96" s="210"/>
      <c r="Q96" s="210"/>
      <c r="R96" s="210"/>
      <c r="S96" s="210"/>
      <c r="T96" s="210"/>
      <c r="U96" s="211"/>
      <c r="V96" s="210"/>
      <c r="W96" s="205"/>
      <c r="X96" s="205"/>
    </row>
    <row r="97" spans="1:47" s="292" customFormat="1" ht="18.75">
      <c r="A97" s="174"/>
      <c r="B97" s="1708" t="s">
        <v>263</v>
      </c>
      <c r="C97" s="1708"/>
      <c r="D97" s="1708"/>
      <c r="E97" s="1708"/>
      <c r="F97" s="1708"/>
      <c r="G97" s="1708"/>
      <c r="H97" s="1708"/>
      <c r="I97" s="1708"/>
      <c r="J97" s="1708"/>
      <c r="K97" s="1708"/>
      <c r="L97" s="1708"/>
      <c r="M97" s="1708"/>
      <c r="N97" s="1708"/>
      <c r="O97" s="1708"/>
      <c r="P97" s="1708"/>
      <c r="Q97" s="1708"/>
      <c r="R97" s="1708"/>
      <c r="S97" s="1708"/>
      <c r="T97" s="1708"/>
      <c r="U97" s="1708"/>
      <c r="V97" s="1708"/>
      <c r="W97" s="1708"/>
      <c r="X97" s="1708"/>
      <c r="Y97" s="1708"/>
      <c r="Z97" s="1708"/>
      <c r="AA97" s="1708"/>
      <c r="AB97" s="1708"/>
      <c r="AC97" s="1708"/>
      <c r="AD97" s="1708"/>
      <c r="AE97" s="1708"/>
      <c r="AF97" s="1708"/>
      <c r="AG97" s="1708"/>
      <c r="AH97" s="1708"/>
      <c r="AI97" s="210"/>
      <c r="AJ97" s="210"/>
      <c r="AK97" s="210"/>
      <c r="AL97" s="210"/>
      <c r="AM97" s="210"/>
      <c r="AN97" s="210"/>
      <c r="AO97" s="211"/>
      <c r="AP97" s="210"/>
      <c r="AQ97" s="211"/>
      <c r="AR97" s="210"/>
      <c r="AS97" s="205"/>
      <c r="AT97" s="205"/>
      <c r="AU97" s="205"/>
    </row>
    <row r="98" spans="1:47">
      <c r="AO98" s="2"/>
      <c r="AQ98" s="2"/>
      <c r="AS98" s="2"/>
    </row>
    <row r="99" spans="1:47">
      <c r="AO99" s="2"/>
      <c r="AQ99" s="2"/>
      <c r="AS99" s="2"/>
    </row>
    <row r="100" spans="1:47">
      <c r="AO100" s="2"/>
      <c r="AQ100" s="2"/>
      <c r="AS100" s="2"/>
    </row>
    <row r="101" spans="1:47">
      <c r="AO101" s="2"/>
      <c r="AQ101" s="2"/>
      <c r="AS101" s="2"/>
    </row>
    <row r="102" spans="1:47">
      <c r="AO102" s="2"/>
      <c r="AQ102" s="2"/>
      <c r="AS102" s="2"/>
    </row>
    <row r="103" spans="1:47">
      <c r="AO103" s="125"/>
      <c r="AQ103" s="125"/>
      <c r="AS103" s="125"/>
    </row>
    <row r="104" spans="1:47">
      <c r="AO104" s="125"/>
      <c r="AQ104" s="125"/>
      <c r="AS104" s="125"/>
    </row>
  </sheetData>
  <mergeCells count="28">
    <mergeCell ref="A1:N1"/>
    <mergeCell ref="P1:AH1"/>
    <mergeCell ref="A14:AG14"/>
    <mergeCell ref="B97:AH97"/>
    <mergeCell ref="K19:L19"/>
    <mergeCell ref="M19:R19"/>
    <mergeCell ref="S19:U19"/>
    <mergeCell ref="V19:X19"/>
    <mergeCell ref="B92:AP92"/>
    <mergeCell ref="B93:U93"/>
    <mergeCell ref="B95:AP95"/>
    <mergeCell ref="J19:J20"/>
    <mergeCell ref="A19:A20"/>
    <mergeCell ref="C19:D20"/>
    <mergeCell ref="E19:E20"/>
    <mergeCell ref="B19:B20"/>
    <mergeCell ref="X4:AH5"/>
    <mergeCell ref="X2:AH3"/>
    <mergeCell ref="T2:W3"/>
    <mergeCell ref="T4:W5"/>
    <mergeCell ref="P2:S2"/>
    <mergeCell ref="Z19:AG19"/>
    <mergeCell ref="B12:AF13"/>
    <mergeCell ref="B9:AF10"/>
    <mergeCell ref="G19:G20"/>
    <mergeCell ref="H19:H20"/>
    <mergeCell ref="I19:I20"/>
    <mergeCell ref="F19:F20"/>
  </mergeCells>
  <conditionalFormatting sqref="L21:L70">
    <cfRule type="expression" dxfId="119" priority="24">
      <formula>IF(ISNUMBER(L21),IF(((YEAR(TODAY()))-14)&gt;=E21,FALSE,TRUE))</formula>
    </cfRule>
  </conditionalFormatting>
  <conditionalFormatting sqref="K21:K70">
    <cfRule type="expression" dxfId="118" priority="23">
      <formula>IF(ISNUMBER(K21),IF(((YEAR(TODAY()))-12)&gt;=E21,FALSE,TRUE))</formula>
    </cfRule>
  </conditionalFormatting>
  <conditionalFormatting sqref="S21:S70">
    <cfRule type="expression" dxfId="117" priority="22">
      <formula>IF(ISNUMBER(S21),IF(((YEAR(TODAY()))-12)&gt;=E21,FALSE,TRUE))</formula>
    </cfRule>
  </conditionalFormatting>
  <conditionalFormatting sqref="T21:T70">
    <cfRule type="expression" dxfId="116" priority="21">
      <formula>IF(ISNUMBER(T21),IF(((YEAR(TODAY()))-12)&gt;=E21,FALSE,TRUE))</formula>
    </cfRule>
  </conditionalFormatting>
  <conditionalFormatting sqref="U21:U70">
    <cfRule type="expression" dxfId="115" priority="20">
      <formula>IF(ISNUMBER(U21),IF(((YEAR(TODAY()))-12)&gt;=E21,FALSE,TRUE))</formula>
    </cfRule>
  </conditionalFormatting>
  <conditionalFormatting sqref="R21:R69">
    <cfRule type="expression" dxfId="114" priority="189">
      <formula>IF(ISNUMBER(R21),IF(((YEAR(TODAY()))-12)&gt;=E21,FALSE,TRUE))</formula>
    </cfRule>
  </conditionalFormatting>
  <conditionalFormatting sqref="AF21:AF70 K21:X70 AD21:AD70">
    <cfRule type="expression" dxfId="113" priority="14">
      <formula>IF(NOT(ISBLANK(K21)),IF(ISNUMBER(K21),IF(INT(K21/10000)&gt;23,TRUE,IF(INT(MOD(K21,10000)/100)&gt;59.99,TRUE,IF(MOD(K21,100)&gt;59.99,TRUE,FALSE))),TRUE))</formula>
    </cfRule>
  </conditionalFormatting>
  <conditionalFormatting sqref="J21:J70">
    <cfRule type="expression" dxfId="112" priority="203">
      <formula>IF(H21=1,IF(J21&gt;$O$2,TRUE),IF(H21=2,IF(J21&gt;$O$3,TRUE),IF(H21=3,IF(J21&gt;$O$4,TRUE),IF(H21=4,IF(J21&gt;$O$5,TRUE)))))</formula>
    </cfRule>
  </conditionalFormatting>
  <conditionalFormatting sqref="G21:G70">
    <cfRule type="expression" dxfId="111" priority="9">
      <formula>IF(G21="м",FALSE,IF(G21="ж",FALSE,TRUE))</formula>
    </cfRule>
  </conditionalFormatting>
  <conditionalFormatting sqref="AE21:AE70">
    <cfRule type="expression" dxfId="110" priority="8">
      <formula>IF(ISBLANK(AD21),IF(ISBLANK(AE21),FALSE,TRUE),IF(ISNUMBER(AE21),FALSE,TRUE))</formula>
    </cfRule>
  </conditionalFormatting>
  <conditionalFormatting sqref="AG21:AG70">
    <cfRule type="expression" dxfId="109" priority="7">
      <formula>IF(ISBLANK(AF21),IF(ISBLANK(AG21),FALSE,TRUE),IF(ISNUMBER(AG21),FALSE,TRUE))</formula>
    </cfRule>
  </conditionalFormatting>
  <conditionalFormatting sqref="AJ21:AJ30 B21:B70">
    <cfRule type="expression" dxfId="108" priority="546">
      <formula>IF($B21&lt;&gt;$P$3,IF($B21&lt;&gt;$P$4,IF($B21&lt;&gt;$P$5,IF($B21&lt;&gt;$Q$3,IF($B21&lt;&gt;$Q$4,IF($B21&lt;&gt;$Q$5,IF($B21&lt;&gt;$R$3,IF($B21&lt;&gt;$R$4,IF($B21&lt;&gt;$R$5,IF($B21&lt;&gt;$S$3,IF($B21&lt;&gt;$S$4,TRUE)))))))))))</formula>
    </cfRule>
  </conditionalFormatting>
  <conditionalFormatting sqref="Y21:Y70">
    <cfRule type="expression" dxfId="107" priority="6">
      <formula>IF(NOT(ISBLANK(Y21)),IF(ISNUMBER(Y21),IF(INT(Y21/10000)&gt;23,TRUE,IF(INT(MOD(Y21,10000)/100)&gt;59.99,TRUE,IF(MOD(Y21,100)&gt;59.99,TRUE,FALSE))),TRUE))</formula>
    </cfRule>
  </conditionalFormatting>
  <conditionalFormatting sqref="AB21:AB70 Z21:Z70">
    <cfRule type="expression" dxfId="106" priority="5">
      <formula>IF(NOT(ISBLANK(Z21)),IF(ISNUMBER(Z21),IF(INT(Z21/10000)&gt;23,TRUE,IF(INT(MOD(Z21,10000)/100)&gt;59.99,TRUE,IF(MOD(Z21,100)&gt;59.99,TRUE,FALSE))),TRUE))</formula>
    </cfRule>
  </conditionalFormatting>
  <conditionalFormatting sqref="AA21:AA70">
    <cfRule type="expression" dxfId="105" priority="4">
      <formula>IF(ISBLANK(Z21),IF(ISBLANK(AA21),FALSE,TRUE),IF(ISNUMBER(AA21),FALSE,TRUE))</formula>
    </cfRule>
  </conditionalFormatting>
  <conditionalFormatting sqref="AC21:AC70">
    <cfRule type="expression" dxfId="104" priority="3">
      <formula>IF(ISBLANK(AB21),IF(ISBLANK(AC21),FALSE,TRUE),IF(ISNUMBER(AC21),FALSE,TRUE))</formula>
    </cfRule>
  </conditionalFormatting>
  <conditionalFormatting sqref="E21:E70">
    <cfRule type="expression" dxfId="103" priority="1">
      <formula>IF(ISBLANK(E21),FALSE,IF(IF(ISNUMBER($G$13),IF(YEAR(TODAY())-$G$13&lt;=E21,FALSE,TRUE),FALSE),TRUE,IF(ISNUMBER($E$13),IF(YEAR(TODAY())-$E$13&lt;E21,TRUE,FALSE),FALSE)))</formula>
    </cfRule>
  </conditionalFormatting>
  <pageMargins left="0.31496062992125984" right="0.31496062992125984" top="0.55118110236220474" bottom="0.39370078740157483" header="0.31496062992125984" footer="0.31496062992125984"/>
  <pageSetup paperSize="9" orientation="landscape" verticalDpi="1200" r:id="rId1"/>
  <headerFooter>
    <oddFooter>&amp;R&amp;"Times New Roman,курсив"&amp;8Стр. &amp;P из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Лист18">
    <tabColor theme="5" tint="0.59999389629810485"/>
  </sheetPr>
  <dimension ref="A1:K76"/>
  <sheetViews>
    <sheetView workbookViewId="0">
      <selection activeCell="B15" sqref="B15:C15"/>
    </sheetView>
  </sheetViews>
  <sheetFormatPr defaultRowHeight="15"/>
  <cols>
    <col min="1" max="1" width="3.8984375" customWidth="1"/>
    <col min="2" max="2" width="19.37109375" customWidth="1"/>
    <col min="3" max="3" width="3.09375" customWidth="1"/>
    <col min="4" max="4" width="18.0234375" customWidth="1"/>
    <col min="5" max="5" width="14.66015625" customWidth="1"/>
    <col min="6" max="6" width="16.140625" customWidth="1"/>
    <col min="7" max="7" width="9.953125" customWidth="1"/>
    <col min="8" max="8" width="11.02734375" customWidth="1"/>
    <col min="9" max="9" width="9.81640625" customWidth="1"/>
    <col min="10" max="10" width="9.953125" customWidth="1"/>
    <col min="11" max="11" width="25.828125" customWidth="1"/>
    <col min="12" max="30" width="0.671875" customWidth="1"/>
  </cols>
  <sheetData>
    <row r="1" spans="1:11" ht="23.25" customHeight="1">
      <c r="H1" s="1773" t="s">
        <v>351</v>
      </c>
      <c r="I1" s="1773"/>
      <c r="J1" s="1773"/>
      <c r="K1" s="1773"/>
    </row>
    <row r="2" spans="1:11" ht="15.75" customHeight="1">
      <c r="H2" s="1773"/>
      <c r="I2" s="1773"/>
      <c r="J2" s="1773"/>
      <c r="K2" s="1773"/>
    </row>
    <row r="3" spans="1:11" ht="31.5">
      <c r="A3" s="1774" t="s">
        <v>349</v>
      </c>
      <c r="B3" s="1774"/>
      <c r="C3" s="1774"/>
      <c r="D3" s="1774"/>
      <c r="E3" s="1774"/>
      <c r="F3" s="1774"/>
      <c r="G3" s="1774"/>
      <c r="H3" s="1774"/>
      <c r="I3" s="1774"/>
      <c r="J3" s="1774"/>
      <c r="K3" s="1774"/>
    </row>
    <row r="4" spans="1:11" ht="23.25" customHeight="1">
      <c r="A4" s="406"/>
      <c r="B4" s="424" t="s">
        <v>341</v>
      </c>
      <c r="C4" s="424"/>
      <c r="D4" s="1775" t="str">
        <f>'Техническая по возраст группам'!E15</f>
        <v>Полное Название команды, город(край, область и пр.)</v>
      </c>
      <c r="E4" s="1775"/>
      <c r="F4" s="1775"/>
      <c r="G4" s="1775"/>
      <c r="H4" s="1775"/>
      <c r="I4" s="1775"/>
      <c r="J4" s="1775"/>
      <c r="K4" s="1775"/>
    </row>
    <row r="5" spans="1:11" ht="36.75" customHeight="1">
      <c r="A5" s="1816" t="s">
        <v>119</v>
      </c>
      <c r="B5" s="1816"/>
      <c r="C5" s="442"/>
      <c r="D5" s="1776" t="str">
        <f>'Техническая по возраст группам'!G17</f>
        <v>Название Соревнований по подводному спорту (1460008511Я) (плавание в ластах)</v>
      </c>
      <c r="E5" s="1777"/>
      <c r="F5" s="1777"/>
      <c r="G5" s="1777"/>
      <c r="H5" s="1777"/>
      <c r="I5" s="1777"/>
      <c r="J5" s="1777"/>
      <c r="K5" s="1777"/>
    </row>
    <row r="6" spans="1:11" ht="26.25" customHeight="1">
      <c r="A6" s="1817" t="s">
        <v>345</v>
      </c>
      <c r="B6" s="1817"/>
      <c r="C6" s="443"/>
      <c r="D6" s="1778" t="str">
        <f>'Техническая по возраст группам'!X2</f>
        <v>г. Город, бассейн "ААА", 50 м</v>
      </c>
      <c r="E6" s="1778"/>
      <c r="F6" s="1778"/>
      <c r="G6" s="1778"/>
      <c r="H6" s="1778"/>
      <c r="I6" s="1778"/>
      <c r="J6" s="456" t="s">
        <v>346</v>
      </c>
      <c r="K6" s="457" t="str">
        <f>'Техническая по возраст группам'!X4</f>
        <v>02-06 декабря 2018 г.</v>
      </c>
    </row>
    <row r="7" spans="1:11" ht="21" customHeight="1">
      <c r="A7" s="426"/>
      <c r="B7" s="426"/>
      <c r="C7" s="426"/>
      <c r="D7" s="429"/>
      <c r="E7" s="427"/>
      <c r="F7" s="427"/>
      <c r="G7" s="427"/>
      <c r="H7" s="422"/>
      <c r="I7" s="422"/>
      <c r="J7" s="427"/>
      <c r="K7" s="427"/>
    </row>
    <row r="8" spans="1:11" ht="51" customHeight="1">
      <c r="A8" s="449" t="s">
        <v>0</v>
      </c>
      <c r="B8" s="1779" t="s">
        <v>348</v>
      </c>
      <c r="C8" s="1779"/>
      <c r="D8" s="1779"/>
      <c r="E8" s="451" t="s">
        <v>339</v>
      </c>
      <c r="F8" s="758" t="s">
        <v>342</v>
      </c>
      <c r="G8" s="451" t="s">
        <v>985</v>
      </c>
      <c r="H8" s="759" t="s">
        <v>984</v>
      </c>
      <c r="I8" s="1780" t="s">
        <v>7</v>
      </c>
      <c r="J8" s="1781"/>
      <c r="K8" s="452" t="s">
        <v>343</v>
      </c>
    </row>
    <row r="9" spans="1:11" s="423" customFormat="1" ht="21" customHeight="1">
      <c r="A9" s="450">
        <v>1</v>
      </c>
      <c r="B9" s="1814" t="str">
        <f>'Техническая по возраст группам'!C21</f>
        <v>Девушки</v>
      </c>
      <c r="C9" s="1815"/>
      <c r="D9" s="1050">
        <f>'Техническая по возраст группам'!D21</f>
        <v>0</v>
      </c>
      <c r="E9" s="1051">
        <f>'Техническая по возраст группам'!E21</f>
        <v>38019</v>
      </c>
      <c r="F9" s="452" t="str">
        <f>IF('Техническая по возраст группам'!G21="Ж","спортсменка",IF('Техническая по возраст группам'!G21="М","спортсмен","не понятно кто"))</f>
        <v>спортсменка</v>
      </c>
      <c r="G9" s="452" t="str">
        <f ca="1">'Техническая по возраст группам'!H21</f>
        <v>нед-н</v>
      </c>
      <c r="H9" s="452" t="str">
        <f>'Техническая по возраст группам'!B21</f>
        <v>МС</v>
      </c>
      <c r="I9" s="1769" t="str">
        <f>'Техническая по возраст группам'!I21</f>
        <v>Фамилия_1 Имя Отчество</v>
      </c>
      <c r="J9" s="1770"/>
      <c r="K9" s="453"/>
    </row>
    <row r="10" spans="1:11" s="423" customFormat="1" ht="21" customHeight="1">
      <c r="A10" s="512">
        <v>2</v>
      </c>
      <c r="B10" s="1814" t="str">
        <f>'Техническая по возраст группам'!C22</f>
        <v>Девушки</v>
      </c>
      <c r="C10" s="1815"/>
      <c r="D10" s="1050" t="str">
        <f>'Техническая по возраст группам'!D22</f>
        <v xml:space="preserve"> </v>
      </c>
      <c r="E10" s="1051">
        <f>'Техническая по возраст группам'!E22</f>
        <v>0</v>
      </c>
      <c r="F10" s="452" t="str">
        <f>IF('Техническая по возраст группам'!G22="Ж","спортсменка",IF('Техническая по возраст группам'!G22="М","спортсмен","не понятно кто"))</f>
        <v>спортсменка</v>
      </c>
      <c r="G10" s="452" t="str">
        <f ca="1">'Техническая по возраст группам'!H22</f>
        <v>г.р.???</v>
      </c>
      <c r="H10" s="452" t="str">
        <f>'Техническая по возраст группам'!B22</f>
        <v>КМС</v>
      </c>
      <c r="I10" s="1769" t="str">
        <f>'Техническая по возраст группам'!I22</f>
        <v>Фамилия_1 Имя Отчество</v>
      </c>
      <c r="J10" s="1770"/>
      <c r="K10" s="453"/>
    </row>
    <row r="11" spans="1:11" s="423" customFormat="1" ht="21" customHeight="1">
      <c r="A11" s="512">
        <v>3</v>
      </c>
      <c r="B11" s="1814" t="str">
        <f>'Техническая по возраст группам'!C23</f>
        <v>Девушки</v>
      </c>
      <c r="C11" s="1815"/>
      <c r="D11" s="1050" t="str">
        <f>'Техническая по возраст группам'!D23</f>
        <v xml:space="preserve"> </v>
      </c>
      <c r="E11" s="1051">
        <f>'Техническая по возраст группам'!E23</f>
        <v>0</v>
      </c>
      <c r="F11" s="452" t="str">
        <f>IF('Техническая по возраст группам'!G23="Ж","спортсменка",IF('Техническая по возраст группам'!G23="М","спортсмен","не понятно кто"))</f>
        <v>спортсменка</v>
      </c>
      <c r="G11" s="452" t="str">
        <f ca="1">'Техническая по возраст группам'!H23</f>
        <v>г.р.???</v>
      </c>
      <c r="H11" s="452" t="str">
        <f>'Техническая по возраст группам'!B23</f>
        <v>I</v>
      </c>
      <c r="I11" s="1769" t="str">
        <f>'Техническая по возраст группам'!I23</f>
        <v>Фамилия_1 Имя Отчество</v>
      </c>
      <c r="J11" s="1770"/>
      <c r="K11" s="453"/>
    </row>
    <row r="12" spans="1:11" s="423" customFormat="1" ht="21" customHeight="1">
      <c r="A12" s="512">
        <v>4</v>
      </c>
      <c r="B12" s="1814" t="str">
        <f>'Техническая по возраст группам'!C24</f>
        <v>Девушки</v>
      </c>
      <c r="C12" s="1815"/>
      <c r="D12" s="1050" t="str">
        <f>'Техническая по возраст группам'!D24</f>
        <v xml:space="preserve"> </v>
      </c>
      <c r="E12" s="1051">
        <f>'Техническая по возраст группам'!E24</f>
        <v>0</v>
      </c>
      <c r="F12" s="452" t="str">
        <f>IF('Техническая по возраст группам'!G24="Ж","спортсменка",IF('Техническая по возраст группам'!G24="М","спортсмен","не понятно кто"))</f>
        <v>спортсменка</v>
      </c>
      <c r="G12" s="452" t="str">
        <f ca="1">'Техническая по возраст группам'!H24</f>
        <v>г.р.???</v>
      </c>
      <c r="H12" s="452" t="str">
        <f>'Техническая по возраст группам'!B24</f>
        <v>II</v>
      </c>
      <c r="I12" s="1769" t="str">
        <f>'Техническая по возраст группам'!I24</f>
        <v>Фамилия_1 Имя Отчество</v>
      </c>
      <c r="J12" s="1770"/>
      <c r="K12" s="453"/>
    </row>
    <row r="13" spans="1:11" s="423" customFormat="1" ht="21" customHeight="1">
      <c r="A13" s="512">
        <v>5</v>
      </c>
      <c r="B13" s="1814" t="str">
        <f>'Техническая по возраст группам'!C25</f>
        <v>Девушки</v>
      </c>
      <c r="C13" s="1815"/>
      <c r="D13" s="1050" t="str">
        <f>'Техническая по возраст группам'!D25</f>
        <v xml:space="preserve"> </v>
      </c>
      <c r="E13" s="1051">
        <f>'Техническая по возраст группам'!E25</f>
        <v>0</v>
      </c>
      <c r="F13" s="452" t="str">
        <f>IF('Техническая по возраст группам'!G25="Ж","спортсменка",IF('Техническая по возраст группам'!G25="М","спортсмен","не понятно кто"))</f>
        <v>спортсменка</v>
      </c>
      <c r="G13" s="452" t="str">
        <f ca="1">'Техническая по возраст группам'!H25</f>
        <v>г.р.???</v>
      </c>
      <c r="H13" s="452" t="str">
        <f>'Техническая по возраст группам'!B25</f>
        <v>III</v>
      </c>
      <c r="I13" s="1769" t="str">
        <f>'Техническая по возраст группам'!I25</f>
        <v>Фамилия_1 Имя Отчество</v>
      </c>
      <c r="J13" s="1770"/>
      <c r="K13" s="453"/>
    </row>
    <row r="14" spans="1:11" s="423" customFormat="1" ht="21" customHeight="1">
      <c r="A14" s="512">
        <v>6</v>
      </c>
      <c r="B14" s="1814" t="str">
        <f>'Техническая по возраст группам'!C26</f>
        <v>Девушки</v>
      </c>
      <c r="C14" s="1815"/>
      <c r="D14" s="1050" t="str">
        <f>'Техническая по возраст группам'!D26</f>
        <v xml:space="preserve"> </v>
      </c>
      <c r="E14" s="1051">
        <f>'Техническая по возраст группам'!E26</f>
        <v>0</v>
      </c>
      <c r="F14" s="452" t="str">
        <f>IF('Техническая по возраст группам'!G26="Ж","спортсменка",IF('Техническая по возраст группам'!G26="М","спортсмен","не понятно кто"))</f>
        <v>спортсменка</v>
      </c>
      <c r="G14" s="452" t="str">
        <f ca="1">'Техническая по возраст группам'!H26</f>
        <v>г.р.???</v>
      </c>
      <c r="H14" s="452" t="str">
        <f>'Техническая по возраст группам'!B26</f>
        <v>I юн</v>
      </c>
      <c r="I14" s="1769" t="str">
        <f>'Техническая по возраст группам'!I26</f>
        <v>Фамилия_1 Имя Отчество</v>
      </c>
      <c r="J14" s="1770"/>
      <c r="K14" s="453"/>
    </row>
    <row r="15" spans="1:11" s="423" customFormat="1" ht="21" customHeight="1">
      <c r="A15" s="512">
        <v>7</v>
      </c>
      <c r="B15" s="1814" t="str">
        <f>'Техническая по возраст группам'!C27</f>
        <v>Девушки</v>
      </c>
      <c r="C15" s="1815"/>
      <c r="D15" s="1050" t="str">
        <f>'Техническая по возраст группам'!D27</f>
        <v xml:space="preserve"> </v>
      </c>
      <c r="E15" s="1051">
        <f>'Техническая по возраст группам'!E27</f>
        <v>0</v>
      </c>
      <c r="F15" s="452" t="str">
        <f>IF('Техническая по возраст группам'!G27="Ж","спортсменка",IF('Техническая по возраст группам'!G27="М","спортсмен","не понятно кто"))</f>
        <v>спортсменка</v>
      </c>
      <c r="G15" s="452" t="str">
        <f ca="1">'Техническая по возраст группам'!H27</f>
        <v>г.р.???</v>
      </c>
      <c r="H15" s="452" t="str">
        <f>'Техническая по возраст группам'!B27</f>
        <v>II юн</v>
      </c>
      <c r="I15" s="1769" t="str">
        <f>'Техническая по возраст группам'!I27</f>
        <v>Фамилия_1 Имя Отчество</v>
      </c>
      <c r="J15" s="1770"/>
      <c r="K15" s="453"/>
    </row>
    <row r="16" spans="1:11" s="423" customFormat="1" ht="21" customHeight="1">
      <c r="A16" s="512">
        <v>8</v>
      </c>
      <c r="B16" s="1814" t="str">
        <f>'Техническая по возраст группам'!C28</f>
        <v>Девушки</v>
      </c>
      <c r="C16" s="1815"/>
      <c r="D16" s="1050" t="str">
        <f>'Техническая по возраст группам'!D28</f>
        <v xml:space="preserve"> </v>
      </c>
      <c r="E16" s="1051">
        <f>'Техническая по возраст группам'!E28</f>
        <v>0</v>
      </c>
      <c r="F16" s="452" t="str">
        <f>IF('Техническая по возраст группам'!G28="Ж","спортсменка",IF('Техническая по возраст группам'!G28="М","спортсмен","не понятно кто"))</f>
        <v>спортсменка</v>
      </c>
      <c r="G16" s="452" t="str">
        <f ca="1">'Техническая по возраст группам'!H28</f>
        <v>г.р.???</v>
      </c>
      <c r="H16" s="452" t="str">
        <f>'Техническая по возраст группам'!B28</f>
        <v>III юн</v>
      </c>
      <c r="I16" s="1769" t="str">
        <f>'Техническая по возраст группам'!I28</f>
        <v>Фамилия_1 Имя Отчество</v>
      </c>
      <c r="J16" s="1770"/>
      <c r="K16" s="453"/>
    </row>
    <row r="17" spans="1:11" s="423" customFormat="1" ht="21" customHeight="1">
      <c r="A17" s="512">
        <v>9</v>
      </c>
      <c r="B17" s="1814" t="str">
        <f>'Техническая по возраст группам'!C29</f>
        <v>Девушки</v>
      </c>
      <c r="C17" s="1815"/>
      <c r="D17" s="1050" t="str">
        <f>'Техническая по возраст группам'!D29</f>
        <v xml:space="preserve"> </v>
      </c>
      <c r="E17" s="1051">
        <f>'Техническая по возраст группам'!E29</f>
        <v>0</v>
      </c>
      <c r="F17" s="452" t="str">
        <f>IF('Техническая по возраст группам'!G29="Ж","спортсменка",IF('Техническая по возраст группам'!G29="М","спортсмен","не понятно кто"))</f>
        <v>спортсменка</v>
      </c>
      <c r="G17" s="452" t="str">
        <f ca="1">'Техническая по возраст группам'!H29</f>
        <v>г.р.???</v>
      </c>
      <c r="H17" s="452" t="str">
        <f>'Техническая по возраст группам'!B29</f>
        <v>III</v>
      </c>
      <c r="I17" s="1769" t="str">
        <f>'Техническая по возраст группам'!I29</f>
        <v>Фамилия_1 Имя Отчество</v>
      </c>
      <c r="J17" s="1770"/>
      <c r="K17" s="453"/>
    </row>
    <row r="18" spans="1:11" s="423" customFormat="1" ht="21" customHeight="1">
      <c r="A18" s="512">
        <v>10</v>
      </c>
      <c r="B18" s="1814" t="str">
        <f>'Техническая по возраст группам'!C30</f>
        <v>Девушки</v>
      </c>
      <c r="C18" s="1815"/>
      <c r="D18" s="1050" t="str">
        <f>'Техническая по возраст группам'!D30</f>
        <v xml:space="preserve"> </v>
      </c>
      <c r="E18" s="1051">
        <f>'Техническая по возраст группам'!E30</f>
        <v>0</v>
      </c>
      <c r="F18" s="452" t="str">
        <f>IF('Техническая по возраст группам'!G30="Ж","спортсменка",IF('Техническая по возраст группам'!G30="М","спортсмен","не понятно кто"))</f>
        <v>спортсменка</v>
      </c>
      <c r="G18" s="452" t="str">
        <f ca="1">'Техническая по возраст группам'!H30</f>
        <v>г.р.???</v>
      </c>
      <c r="H18" s="452" t="str">
        <f>'Техническая по возраст группам'!B30</f>
        <v>I</v>
      </c>
      <c r="I18" s="1769" t="str">
        <f>'Техническая по возраст группам'!I30</f>
        <v>Фамилия_1 Имя Отчество</v>
      </c>
      <c r="J18" s="1770"/>
      <c r="K18" s="453"/>
    </row>
    <row r="19" spans="1:11" s="423" customFormat="1" ht="21" customHeight="1">
      <c r="A19" s="512">
        <v>11</v>
      </c>
      <c r="B19" s="1814" t="str">
        <f>'Техническая по возраст группам'!C31</f>
        <v>Девушки</v>
      </c>
      <c r="C19" s="1815"/>
      <c r="D19" s="1050" t="str">
        <f>'Техническая по возраст группам'!D31</f>
        <v xml:space="preserve"> </v>
      </c>
      <c r="E19" s="1051">
        <f>'Техническая по возраст группам'!E31</f>
        <v>0</v>
      </c>
      <c r="F19" s="452" t="str">
        <f>IF('Техническая по возраст группам'!G31="Ж","спортсменка",IF('Техническая по возраст группам'!G31="М","спортсмен","не понятно кто"))</f>
        <v>спортсменка</v>
      </c>
      <c r="G19" s="452" t="str">
        <f ca="1">'Техническая по возраст группам'!H31</f>
        <v>г.р.???</v>
      </c>
      <c r="H19" s="452" t="str">
        <f>'Техническая по возраст группам'!B31</f>
        <v>I юн</v>
      </c>
      <c r="I19" s="1769" t="str">
        <f>'Техническая по возраст группам'!I31</f>
        <v>Фамилия_1 Имя Отчество</v>
      </c>
      <c r="J19" s="1770"/>
      <c r="K19" s="453"/>
    </row>
    <row r="20" spans="1:11" s="423" customFormat="1" ht="21" customHeight="1">
      <c r="A20" s="512">
        <v>12</v>
      </c>
      <c r="B20" s="1814" t="str">
        <f>'Техническая по возраст группам'!C32</f>
        <v>Девушки</v>
      </c>
      <c r="C20" s="1815"/>
      <c r="D20" s="1050" t="str">
        <f>'Техническая по возраст группам'!D32</f>
        <v xml:space="preserve"> </v>
      </c>
      <c r="E20" s="1051">
        <f>'Техническая по возраст группам'!E32</f>
        <v>0</v>
      </c>
      <c r="F20" s="452" t="str">
        <f>IF('Техническая по возраст группам'!G32="Ж","спортсменка",IF('Техническая по возраст группам'!G32="М","спортсмен","не понятно кто"))</f>
        <v>спортсменка</v>
      </c>
      <c r="G20" s="452" t="str">
        <f ca="1">'Техническая по возраст группам'!H32</f>
        <v>г.р.???</v>
      </c>
      <c r="H20" s="452" t="str">
        <f>'Техническая по возраст группам'!B32</f>
        <v>МС</v>
      </c>
      <c r="I20" s="1769" t="str">
        <f>'Техническая по возраст группам'!I32</f>
        <v>Фамилия_1 Имя Отчество</v>
      </c>
      <c r="J20" s="1770"/>
      <c r="K20" s="453"/>
    </row>
    <row r="21" spans="1:11" s="423" customFormat="1" ht="21" customHeight="1">
      <c r="A21" s="512">
        <v>13</v>
      </c>
      <c r="B21" s="1814" t="str">
        <f>'Техническая по возраст группам'!C33</f>
        <v>Девушки</v>
      </c>
      <c r="C21" s="1815"/>
      <c r="D21" s="1050" t="str">
        <f>'Техническая по возраст группам'!D33</f>
        <v xml:space="preserve"> </v>
      </c>
      <c r="E21" s="1051">
        <f>'Техническая по возраст группам'!E33</f>
        <v>0</v>
      </c>
      <c r="F21" s="452" t="str">
        <f>IF('Техническая по возраст группам'!G33="Ж","спортсменка",IF('Техническая по возраст группам'!G33="М","спортсмен","не понятно кто"))</f>
        <v>спортсменка</v>
      </c>
      <c r="G21" s="452" t="str">
        <f ca="1">'Техническая по возраст группам'!H33</f>
        <v>г.р.???</v>
      </c>
      <c r="H21" s="452" t="str">
        <f>'Техническая по возраст группам'!B33</f>
        <v>КМС</v>
      </c>
      <c r="I21" s="1769" t="str">
        <f>'Техническая по возраст группам'!I33</f>
        <v>Фамилия_1 Имя Отчество</v>
      </c>
      <c r="J21" s="1770"/>
      <c r="K21" s="453"/>
    </row>
    <row r="22" spans="1:11" s="423" customFormat="1" ht="21" customHeight="1">
      <c r="A22" s="512">
        <v>14</v>
      </c>
      <c r="B22" s="1814" t="str">
        <f>'Техническая по возраст группам'!C34</f>
        <v>Девушки</v>
      </c>
      <c r="C22" s="1815"/>
      <c r="D22" s="1050" t="str">
        <f>'Техническая по возраст группам'!D34</f>
        <v xml:space="preserve"> </v>
      </c>
      <c r="E22" s="1051">
        <f>'Техническая по возраст группам'!E34</f>
        <v>0</v>
      </c>
      <c r="F22" s="452" t="str">
        <f>IF('Техническая по возраст группам'!G34="Ж","спортсменка",IF('Техническая по возраст группам'!G34="М","спортсмен","не понятно кто"))</f>
        <v>спортсменка</v>
      </c>
      <c r="G22" s="452" t="str">
        <f ca="1">'Техническая по возраст группам'!H34</f>
        <v>г.р.???</v>
      </c>
      <c r="H22" s="452" t="str">
        <f>'Техническая по возраст группам'!B34</f>
        <v>I</v>
      </c>
      <c r="I22" s="1769" t="str">
        <f>'Техническая по возраст группам'!I34</f>
        <v>Фамилия_1 Имя Отчество</v>
      </c>
      <c r="J22" s="1770"/>
      <c r="K22" s="453"/>
    </row>
    <row r="23" spans="1:11" s="423" customFormat="1" ht="21" customHeight="1">
      <c r="A23" s="512">
        <v>15</v>
      </c>
      <c r="B23" s="1814" t="str">
        <f>'Техническая по возраст группам'!C35</f>
        <v>Девушки</v>
      </c>
      <c r="C23" s="1815"/>
      <c r="D23" s="1050" t="str">
        <f>'Техническая по возраст группам'!D35</f>
        <v xml:space="preserve"> </v>
      </c>
      <c r="E23" s="1051">
        <f>'Техническая по возраст группам'!E35</f>
        <v>0</v>
      </c>
      <c r="F23" s="452" t="str">
        <f>IF('Техническая по возраст группам'!G35="Ж","спортсменка",IF('Техническая по возраст группам'!G35="М","спортсмен","не понятно кто"))</f>
        <v>спортсменка</v>
      </c>
      <c r="G23" s="452" t="str">
        <f ca="1">'Техническая по возраст группам'!H35</f>
        <v>г.р.???</v>
      </c>
      <c r="H23" s="452" t="str">
        <f>'Техническая по возраст группам'!B35</f>
        <v>II</v>
      </c>
      <c r="I23" s="1769" t="str">
        <f>'Техническая по возраст группам'!I35</f>
        <v>Фамилия_1 Имя Отчество</v>
      </c>
      <c r="J23" s="1770"/>
      <c r="K23" s="453"/>
    </row>
    <row r="24" spans="1:11" s="423" customFormat="1" ht="21" customHeight="1">
      <c r="A24" s="512">
        <v>16</v>
      </c>
      <c r="B24" s="1814" t="str">
        <f>'Техническая по возраст группам'!C36</f>
        <v>Девушки</v>
      </c>
      <c r="C24" s="1815"/>
      <c r="D24" s="1050" t="str">
        <f>'Техническая по возраст группам'!D36</f>
        <v xml:space="preserve"> </v>
      </c>
      <c r="E24" s="1051">
        <f>'Техническая по возраст группам'!E36</f>
        <v>0</v>
      </c>
      <c r="F24" s="452" t="str">
        <f>IF('Техническая по возраст группам'!G36="Ж","спортсменка",IF('Техническая по возраст группам'!G36="М","спортсмен","не понятно кто"))</f>
        <v>спортсменка</v>
      </c>
      <c r="G24" s="452" t="str">
        <f ca="1">'Техническая по возраст группам'!H36</f>
        <v>г.р.???</v>
      </c>
      <c r="H24" s="452" t="str">
        <f>'Техническая по возраст группам'!B36</f>
        <v>II</v>
      </c>
      <c r="I24" s="1769" t="str">
        <f>'Техническая по возраст группам'!I36</f>
        <v>Фамилия_1 Имя Отчество</v>
      </c>
      <c r="J24" s="1770"/>
      <c r="K24" s="453"/>
    </row>
    <row r="25" spans="1:11" s="423" customFormat="1" ht="21" customHeight="1">
      <c r="A25" s="512">
        <v>17</v>
      </c>
      <c r="B25" s="1814" t="str">
        <f>'Техническая по возраст группам'!C37</f>
        <v>Девушки</v>
      </c>
      <c r="C25" s="1815"/>
      <c r="D25" s="1050" t="str">
        <f>'Техническая по возраст группам'!D37</f>
        <v xml:space="preserve"> </v>
      </c>
      <c r="E25" s="1051">
        <f>'Техническая по возраст группам'!E37</f>
        <v>0</v>
      </c>
      <c r="F25" s="452" t="str">
        <f>IF('Техническая по возраст группам'!G37="Ж","спортсменка",IF('Техническая по возраст группам'!G37="М","спортсмен","не понятно кто"))</f>
        <v>спортсменка</v>
      </c>
      <c r="G25" s="452" t="str">
        <f ca="1">'Техническая по возраст группам'!H37</f>
        <v>г.р.???</v>
      </c>
      <c r="H25" s="452" t="str">
        <f>'Техническая по возраст группам'!B37</f>
        <v>II</v>
      </c>
      <c r="I25" s="1769" t="str">
        <f>'Техническая по возраст группам'!I37</f>
        <v>Фамилия_1 Имя Отчество</v>
      </c>
      <c r="J25" s="1770"/>
      <c r="K25" s="453"/>
    </row>
    <row r="26" spans="1:11" s="423" customFormat="1" ht="21" customHeight="1">
      <c r="A26" s="512">
        <v>18</v>
      </c>
      <c r="B26" s="1814" t="str">
        <f>'Техническая по возраст группам'!C38</f>
        <v>Девушки</v>
      </c>
      <c r="C26" s="1815"/>
      <c r="D26" s="1050" t="str">
        <f>'Техническая по возраст группам'!D38</f>
        <v xml:space="preserve"> </v>
      </c>
      <c r="E26" s="1051">
        <f>'Техническая по возраст группам'!E38</f>
        <v>0</v>
      </c>
      <c r="F26" s="452" t="str">
        <f>IF('Техническая по возраст группам'!G38="Ж","спортсменка",IF('Техническая по возраст группам'!G38="М","спортсмен","не понятно кто"))</f>
        <v>спортсменка</v>
      </c>
      <c r="G26" s="452" t="str">
        <f ca="1">'Техническая по возраст группам'!H38</f>
        <v>г.р.???</v>
      </c>
      <c r="H26" s="452" t="str">
        <f>'Техническая по возраст группам'!B38</f>
        <v>II</v>
      </c>
      <c r="I26" s="1769" t="str">
        <f>'Техническая по возраст группам'!I38</f>
        <v>Фамилия_1 Имя Отчество</v>
      </c>
      <c r="J26" s="1770"/>
      <c r="K26" s="453"/>
    </row>
    <row r="27" spans="1:11" s="423" customFormat="1" ht="21" customHeight="1">
      <c r="A27" s="512">
        <v>19</v>
      </c>
      <c r="B27" s="1814" t="str">
        <f>'Техническая по возраст группам'!C39</f>
        <v>Девушки</v>
      </c>
      <c r="C27" s="1815"/>
      <c r="D27" s="1050" t="str">
        <f>'Техническая по возраст группам'!D39</f>
        <v xml:space="preserve"> </v>
      </c>
      <c r="E27" s="1051">
        <f>'Техническая по возраст группам'!E39</f>
        <v>0</v>
      </c>
      <c r="F27" s="452" t="str">
        <f>IF('Техническая по возраст группам'!G39="Ж","спортсменка",IF('Техническая по возраст группам'!G39="М","спортсмен","не понятно кто"))</f>
        <v>спортсменка</v>
      </c>
      <c r="G27" s="452" t="str">
        <f ca="1">'Техническая по возраст группам'!H39</f>
        <v>г.р.???</v>
      </c>
      <c r="H27" s="452" t="str">
        <f>'Техническая по возраст группам'!B39</f>
        <v>II</v>
      </c>
      <c r="I27" s="1769" t="str">
        <f>'Техническая по возраст группам'!I39</f>
        <v>Фамилия_1 Имя Отчество</v>
      </c>
      <c r="J27" s="1770"/>
      <c r="K27" s="453"/>
    </row>
    <row r="28" spans="1:11" s="423" customFormat="1" ht="21" customHeight="1">
      <c r="A28" s="512">
        <v>20</v>
      </c>
      <c r="B28" s="1814" t="str">
        <f>'Техническая по возраст группам'!C40</f>
        <v>Девушки</v>
      </c>
      <c r="C28" s="1815"/>
      <c r="D28" s="1050" t="str">
        <f>'Техническая по возраст группам'!D40</f>
        <v xml:space="preserve"> </v>
      </c>
      <c r="E28" s="1051">
        <f>'Техническая по возраст группам'!E40</f>
        <v>0</v>
      </c>
      <c r="F28" s="452" t="str">
        <f>IF('Техническая по возраст группам'!G40="Ж","спортсменка",IF('Техническая по возраст группам'!G40="М","спортсмен","не понятно кто"))</f>
        <v>спортсменка</v>
      </c>
      <c r="G28" s="452" t="str">
        <f ca="1">'Техническая по возраст группам'!H40</f>
        <v>г.р.???</v>
      </c>
      <c r="H28" s="452" t="str">
        <f>'Техническая по возраст группам'!B40</f>
        <v>II</v>
      </c>
      <c r="I28" s="1769" t="str">
        <f>'Техническая по возраст группам'!I40</f>
        <v>Фамилия_1 Имя Отчество</v>
      </c>
      <c r="J28" s="1770"/>
      <c r="K28" s="453"/>
    </row>
    <row r="29" spans="1:11" s="423" customFormat="1" ht="21" customHeight="1">
      <c r="A29" s="512">
        <v>21</v>
      </c>
      <c r="B29" s="1814" t="str">
        <f>'Техническая по возраст группам'!C41</f>
        <v>Девушки</v>
      </c>
      <c r="C29" s="1815"/>
      <c r="D29" s="1050" t="str">
        <f>'Техническая по возраст группам'!D41</f>
        <v xml:space="preserve"> </v>
      </c>
      <c r="E29" s="1051">
        <f>'Техническая по возраст группам'!E41</f>
        <v>0</v>
      </c>
      <c r="F29" s="452" t="str">
        <f>IF('Техническая по возраст группам'!G41="Ж","спортсменка",IF('Техническая по возраст группам'!G41="М","спортсмен","не понятно кто"))</f>
        <v>спортсменка</v>
      </c>
      <c r="G29" s="452" t="str">
        <f ca="1">'Техническая по возраст группам'!H41</f>
        <v>г.р.???</v>
      </c>
      <c r="H29" s="452" t="str">
        <f>'Техническая по возраст группам'!B41</f>
        <v>II</v>
      </c>
      <c r="I29" s="1769" t="str">
        <f>'Техническая по возраст группам'!I41</f>
        <v>Фамилия_1 Имя Отчество</v>
      </c>
      <c r="J29" s="1770"/>
      <c r="K29" s="453"/>
    </row>
    <row r="30" spans="1:11" s="423" customFormat="1" ht="21" customHeight="1">
      <c r="A30" s="512">
        <v>22</v>
      </c>
      <c r="B30" s="1814" t="str">
        <f>'Техническая по возраст группам'!C42</f>
        <v>Девушки</v>
      </c>
      <c r="C30" s="1815"/>
      <c r="D30" s="1050" t="str">
        <f>'Техническая по возраст группам'!D42</f>
        <v xml:space="preserve"> </v>
      </c>
      <c r="E30" s="1051">
        <f>'Техническая по возраст группам'!E42</f>
        <v>0</v>
      </c>
      <c r="F30" s="452" t="str">
        <f>IF('Техническая по возраст группам'!G42="Ж","спортсменка",IF('Техническая по возраст группам'!G42="М","спортсмен","не понятно кто"))</f>
        <v>спортсменка</v>
      </c>
      <c r="G30" s="452" t="str">
        <f ca="1">'Техническая по возраст группам'!H42</f>
        <v>г.р.???</v>
      </c>
      <c r="H30" s="452" t="str">
        <f>'Техническая по возраст группам'!B42</f>
        <v>I юн</v>
      </c>
      <c r="I30" s="1769" t="str">
        <f>'Техническая по возраст группам'!I42</f>
        <v>Фамилия_1 Имя Отчество</v>
      </c>
      <c r="J30" s="1770"/>
      <c r="K30" s="453"/>
    </row>
    <row r="31" spans="1:11" s="423" customFormat="1" ht="21" customHeight="1">
      <c r="A31" s="512">
        <v>23</v>
      </c>
      <c r="B31" s="1814" t="str">
        <f>'Техническая по возраст группам'!C43</f>
        <v>Девушки</v>
      </c>
      <c r="C31" s="1815"/>
      <c r="D31" s="1050" t="str">
        <f>'Техническая по возраст группам'!D43</f>
        <v xml:space="preserve"> </v>
      </c>
      <c r="E31" s="1051">
        <f>'Техническая по возраст группам'!E43</f>
        <v>0</v>
      </c>
      <c r="F31" s="452" t="str">
        <f>IF('Техническая по возраст группам'!G43="Ж","спортсменка",IF('Техническая по возраст группам'!G43="М","спортсмен","не понятно кто"))</f>
        <v>спортсменка</v>
      </c>
      <c r="G31" s="452" t="str">
        <f ca="1">'Техническая по возраст группам'!H43</f>
        <v>г.р.???</v>
      </c>
      <c r="H31" s="452" t="str">
        <f>'Техническая по возраст группам'!B43</f>
        <v>МС</v>
      </c>
      <c r="I31" s="1769" t="str">
        <f>'Техническая по возраст группам'!I43</f>
        <v>Фамилия_1 Имя Отчество</v>
      </c>
      <c r="J31" s="1770"/>
      <c r="K31" s="453"/>
    </row>
    <row r="32" spans="1:11" s="423" customFormat="1" ht="21" customHeight="1">
      <c r="A32" s="512">
        <v>24</v>
      </c>
      <c r="B32" s="1814" t="str">
        <f>'Техническая по возраст группам'!C44</f>
        <v>Девушки</v>
      </c>
      <c r="C32" s="1815"/>
      <c r="D32" s="1050" t="str">
        <f>'Техническая по возраст группам'!D44</f>
        <v xml:space="preserve"> </v>
      </c>
      <c r="E32" s="1051">
        <f>'Техническая по возраст группам'!E44</f>
        <v>0</v>
      </c>
      <c r="F32" s="452" t="str">
        <f>IF('Техническая по возраст группам'!G44="Ж","спортсменка",IF('Техническая по возраст группам'!G44="М","спортсмен","не понятно кто"))</f>
        <v>спортсменка</v>
      </c>
      <c r="G32" s="452" t="str">
        <f ca="1">'Техническая по возраст группам'!H44</f>
        <v>г.р.???</v>
      </c>
      <c r="H32" s="452" t="str">
        <f>'Техническая по возраст группам'!B44</f>
        <v>I</v>
      </c>
      <c r="I32" s="1769" t="str">
        <f>'Техническая по возраст группам'!I44</f>
        <v>Фамилия_1 Имя Отчество</v>
      </c>
      <c r="J32" s="1770"/>
      <c r="K32" s="453"/>
    </row>
    <row r="33" spans="1:11" s="423" customFormat="1" ht="21" customHeight="1">
      <c r="A33" s="512">
        <v>25</v>
      </c>
      <c r="B33" s="1814" t="str">
        <f>'Техническая по возраст группам'!C45</f>
        <v>Девушки</v>
      </c>
      <c r="C33" s="1815"/>
      <c r="D33" s="1050" t="str">
        <f>'Техническая по возраст группам'!D45</f>
        <v xml:space="preserve"> </v>
      </c>
      <c r="E33" s="1051">
        <f>'Техническая по возраст группам'!E45</f>
        <v>0</v>
      </c>
      <c r="F33" s="452" t="str">
        <f>IF('Техническая по возраст группам'!G45="Ж","спортсменка",IF('Техническая по возраст группам'!G45="М","спортсмен","не понятно кто"))</f>
        <v>спортсменка</v>
      </c>
      <c r="G33" s="452" t="str">
        <f ca="1">'Техническая по возраст группам'!H45</f>
        <v>г.р.???</v>
      </c>
      <c r="H33" s="452" t="str">
        <f>'Техническая по возраст группам'!B45</f>
        <v>II</v>
      </c>
      <c r="I33" s="1769" t="str">
        <f>'Техническая по возраст группам'!I45</f>
        <v>Фамилия_1 Имя Отчество</v>
      </c>
      <c r="J33" s="1770"/>
      <c r="K33" s="453"/>
    </row>
    <row r="34" spans="1:11" s="423" customFormat="1" ht="21" customHeight="1">
      <c r="A34" s="512">
        <v>26</v>
      </c>
      <c r="B34" s="1814" t="str">
        <f>'Техническая по возраст группам'!C46</f>
        <v>Юноши</v>
      </c>
      <c r="C34" s="1815"/>
      <c r="D34" s="1050" t="str">
        <f>'Техническая по возраст группам'!D46</f>
        <v xml:space="preserve"> </v>
      </c>
      <c r="E34" s="1051">
        <f>'Техническая по возраст группам'!E46</f>
        <v>0</v>
      </c>
      <c r="F34" s="452" t="str">
        <f>IF('Техническая по возраст группам'!G46="Ж","спортсменка",IF('Техническая по возраст группам'!G46="М","спортсмен","не понятно кто"))</f>
        <v>спортсмен</v>
      </c>
      <c r="G34" s="452" t="str">
        <f ca="1">'Техническая по возраст группам'!H46</f>
        <v>г.р.???</v>
      </c>
      <c r="H34" s="452" t="str">
        <f>'Техническая по возраст группам'!B46</f>
        <v>III юн</v>
      </c>
      <c r="I34" s="1769" t="str">
        <f>'Техническая по возраст группам'!I46</f>
        <v>Фамилия_1 Имя Отчество</v>
      </c>
      <c r="J34" s="1770"/>
      <c r="K34" s="453"/>
    </row>
    <row r="35" spans="1:11" s="423" customFormat="1" ht="21" customHeight="1">
      <c r="A35" s="512">
        <v>27</v>
      </c>
      <c r="B35" s="1814" t="str">
        <f>'Техническая по возраст группам'!C47</f>
        <v>Юноши</v>
      </c>
      <c r="C35" s="1815"/>
      <c r="D35" s="1050" t="str">
        <f>'Техническая по возраст группам'!D47</f>
        <v xml:space="preserve"> </v>
      </c>
      <c r="E35" s="1051">
        <f>'Техническая по возраст группам'!E47</f>
        <v>0</v>
      </c>
      <c r="F35" s="452" t="str">
        <f>IF('Техническая по возраст группам'!G47="Ж","спортсменка",IF('Техническая по возраст группам'!G47="М","спортсмен","не понятно кто"))</f>
        <v>спортсмен</v>
      </c>
      <c r="G35" s="452" t="str">
        <f ca="1">'Техническая по возраст группам'!H47</f>
        <v>г.р.???</v>
      </c>
      <c r="H35" s="452" t="str">
        <f>'Техническая по возраст группам'!B47</f>
        <v>II</v>
      </c>
      <c r="I35" s="1769" t="str">
        <f>'Техническая по возраст группам'!I47</f>
        <v>Фамилия_1 Имя Отчество</v>
      </c>
      <c r="J35" s="1770"/>
      <c r="K35" s="453"/>
    </row>
    <row r="36" spans="1:11" s="423" customFormat="1" ht="21" customHeight="1">
      <c r="A36" s="512">
        <v>28</v>
      </c>
      <c r="B36" s="1814" t="str">
        <f>'Техническая по возраст группам'!C48</f>
        <v>Юноши</v>
      </c>
      <c r="C36" s="1815"/>
      <c r="D36" s="1050" t="str">
        <f>'Техническая по возраст группам'!D48</f>
        <v xml:space="preserve"> </v>
      </c>
      <c r="E36" s="1051">
        <f>'Техническая по возраст группам'!E48</f>
        <v>0</v>
      </c>
      <c r="F36" s="452" t="str">
        <f>IF('Техническая по возраст группам'!G48="Ж","спортсменка",IF('Техническая по возраст группам'!G48="М","спортсмен","не понятно кто"))</f>
        <v>спортсмен</v>
      </c>
      <c r="G36" s="452" t="str">
        <f ca="1">'Техническая по возраст группам'!H48</f>
        <v>г.р.???</v>
      </c>
      <c r="H36" s="452" t="str">
        <f>'Техническая по возраст группам'!B48</f>
        <v>II</v>
      </c>
      <c r="I36" s="1769" t="str">
        <f>'Техническая по возраст группам'!I48</f>
        <v>Фамилия_1 Имя Отчество</v>
      </c>
      <c r="J36" s="1770"/>
      <c r="K36" s="453"/>
    </row>
    <row r="37" spans="1:11" s="423" customFormat="1" ht="21" customHeight="1">
      <c r="A37" s="512">
        <v>29</v>
      </c>
      <c r="B37" s="1814" t="str">
        <f>'Техническая по возраст группам'!C49</f>
        <v>Юноши</v>
      </c>
      <c r="C37" s="1815"/>
      <c r="D37" s="1050" t="str">
        <f>'Техническая по возраст группам'!D49</f>
        <v xml:space="preserve"> </v>
      </c>
      <c r="E37" s="1051">
        <f>'Техническая по возраст группам'!E49</f>
        <v>0</v>
      </c>
      <c r="F37" s="452" t="str">
        <f>IF('Техническая по возраст группам'!G49="Ж","спортсменка",IF('Техническая по возраст группам'!G49="М","спортсмен","не понятно кто"))</f>
        <v>спортсмен</v>
      </c>
      <c r="G37" s="452" t="str">
        <f ca="1">'Техническая по возраст группам'!H49</f>
        <v>г.р.???</v>
      </c>
      <c r="H37" s="452" t="str">
        <f>'Техническая по возраст группам'!B49</f>
        <v>II</v>
      </c>
      <c r="I37" s="1769" t="str">
        <f>'Техническая по возраст группам'!I49</f>
        <v>Фамилия_1 Имя Отчество</v>
      </c>
      <c r="J37" s="1770"/>
      <c r="K37" s="453"/>
    </row>
    <row r="38" spans="1:11" s="423" customFormat="1" ht="21" customHeight="1">
      <c r="A38" s="512">
        <v>30</v>
      </c>
      <c r="B38" s="1814" t="str">
        <f>'Техническая по возраст группам'!C50</f>
        <v>Юноши</v>
      </c>
      <c r="C38" s="1815"/>
      <c r="D38" s="1050" t="str">
        <f>'Техническая по возраст группам'!D50</f>
        <v xml:space="preserve"> </v>
      </c>
      <c r="E38" s="1051">
        <f>'Техническая по возраст группам'!E50</f>
        <v>0</v>
      </c>
      <c r="F38" s="452" t="str">
        <f>IF('Техническая по возраст группам'!G50="Ж","спортсменка",IF('Техническая по возраст группам'!G50="М","спортсмен","не понятно кто"))</f>
        <v>спортсмен</v>
      </c>
      <c r="G38" s="452" t="str">
        <f ca="1">'Техническая по возраст группам'!H50</f>
        <v>г.р.???</v>
      </c>
      <c r="H38" s="452" t="str">
        <f>'Техническая по возраст группам'!B50</f>
        <v>II</v>
      </c>
      <c r="I38" s="1769" t="str">
        <f>'Техническая по возраст группам'!I50</f>
        <v>Фамилия_1 Имя Отчество</v>
      </c>
      <c r="J38" s="1770"/>
      <c r="K38" s="453"/>
    </row>
    <row r="39" spans="1:11" s="423" customFormat="1" ht="21" customHeight="1">
      <c r="A39" s="512">
        <v>31</v>
      </c>
      <c r="B39" s="1814" t="str">
        <f>'Техническая по возраст группам'!C51</f>
        <v>Юноши</v>
      </c>
      <c r="C39" s="1815"/>
      <c r="D39" s="1050" t="str">
        <f>'Техническая по возраст группам'!D51</f>
        <v xml:space="preserve"> </v>
      </c>
      <c r="E39" s="1051">
        <f>'Техническая по возраст группам'!E51</f>
        <v>0</v>
      </c>
      <c r="F39" s="452" t="str">
        <f>IF('Техническая по возраст группам'!G51="Ж","спортсменка",IF('Техническая по возраст группам'!G51="М","спортсмен","не понятно кто"))</f>
        <v>спортсмен</v>
      </c>
      <c r="G39" s="452" t="str">
        <f ca="1">'Техническая по возраст группам'!H51</f>
        <v>г.р.???</v>
      </c>
      <c r="H39" s="452" t="str">
        <f>'Техническая по возраст группам'!B51</f>
        <v>II</v>
      </c>
      <c r="I39" s="1769" t="str">
        <f>'Техническая по возраст группам'!I51</f>
        <v>Фамилия_1 Имя Отчество</v>
      </c>
      <c r="J39" s="1770"/>
      <c r="K39" s="453"/>
    </row>
    <row r="40" spans="1:11" s="423" customFormat="1" ht="21" customHeight="1">
      <c r="A40" s="512">
        <v>32</v>
      </c>
      <c r="B40" s="1814" t="str">
        <f>'Техническая по возраст группам'!C52</f>
        <v>Юноши</v>
      </c>
      <c r="C40" s="1815"/>
      <c r="D40" s="1050" t="str">
        <f>'Техническая по возраст группам'!D52</f>
        <v xml:space="preserve"> </v>
      </c>
      <c r="E40" s="1051">
        <f>'Техническая по возраст группам'!E52</f>
        <v>0</v>
      </c>
      <c r="F40" s="452" t="str">
        <f>IF('Техническая по возраст группам'!G52="Ж","спортсменка",IF('Техническая по возраст группам'!G52="М","спортсмен","не понятно кто"))</f>
        <v>спортсмен</v>
      </c>
      <c r="G40" s="452" t="str">
        <f ca="1">'Техническая по возраст группам'!H52</f>
        <v>г.р.???</v>
      </c>
      <c r="H40" s="452" t="str">
        <f>'Техническая по возраст группам'!B52</f>
        <v>II</v>
      </c>
      <c r="I40" s="1769" t="str">
        <f>'Техническая по возраст группам'!I52</f>
        <v>Фамилия_1 Имя Отчество</v>
      </c>
      <c r="J40" s="1770"/>
      <c r="K40" s="453"/>
    </row>
    <row r="41" spans="1:11" s="423" customFormat="1" ht="21" customHeight="1">
      <c r="A41" s="512">
        <v>33</v>
      </c>
      <c r="B41" s="1814" t="str">
        <f>'Техническая по возраст группам'!C53</f>
        <v>Юноши</v>
      </c>
      <c r="C41" s="1815"/>
      <c r="D41" s="1050" t="str">
        <f>'Техническая по возраст группам'!D53</f>
        <v xml:space="preserve"> </v>
      </c>
      <c r="E41" s="1051">
        <f>'Техническая по возраст группам'!E53</f>
        <v>0</v>
      </c>
      <c r="F41" s="452" t="str">
        <f>IF('Техническая по возраст группам'!G53="Ж","спортсменка",IF('Техническая по возраст группам'!G53="М","спортсмен","не понятно кто"))</f>
        <v>спортсмен</v>
      </c>
      <c r="G41" s="452" t="str">
        <f ca="1">'Техническая по возраст группам'!H53</f>
        <v>г.р.???</v>
      </c>
      <c r="H41" s="452" t="str">
        <f>'Техническая по возраст группам'!B53</f>
        <v>II</v>
      </c>
      <c r="I41" s="1769" t="str">
        <f>'Техническая по возраст группам'!I53</f>
        <v>Фамилия_1 Имя Отчество</v>
      </c>
      <c r="J41" s="1770"/>
      <c r="K41" s="453"/>
    </row>
    <row r="42" spans="1:11" s="423" customFormat="1" ht="21" customHeight="1">
      <c r="A42" s="512">
        <v>34</v>
      </c>
      <c r="B42" s="1814" t="str">
        <f>'Техническая по возраст группам'!C54</f>
        <v>Юноши</v>
      </c>
      <c r="C42" s="1815"/>
      <c r="D42" s="1050" t="str">
        <f>'Техническая по возраст группам'!D54</f>
        <v xml:space="preserve"> </v>
      </c>
      <c r="E42" s="1051">
        <f>'Техническая по возраст группам'!E54</f>
        <v>0</v>
      </c>
      <c r="F42" s="452" t="str">
        <f>IF('Техническая по возраст группам'!G54="Ж","спортсменка",IF('Техническая по возраст группам'!G54="М","спортсмен","не понятно кто"))</f>
        <v>спортсмен</v>
      </c>
      <c r="G42" s="452" t="str">
        <f ca="1">'Техническая по возраст группам'!H54</f>
        <v>г.р.???</v>
      </c>
      <c r="H42" s="452" t="str">
        <f>'Техническая по возраст группам'!B54</f>
        <v>ЗМС</v>
      </c>
      <c r="I42" s="1769" t="str">
        <f>'Техническая по возраст группам'!I54</f>
        <v>Фамилия_1 Имя Отчество</v>
      </c>
      <c r="J42" s="1770"/>
      <c r="K42" s="453"/>
    </row>
    <row r="43" spans="1:11" s="423" customFormat="1" ht="21" customHeight="1">
      <c r="A43" s="512">
        <v>35</v>
      </c>
      <c r="B43" s="1814" t="str">
        <f>'Техническая по возраст группам'!C55</f>
        <v>Юноши</v>
      </c>
      <c r="C43" s="1815"/>
      <c r="D43" s="1050" t="str">
        <f>'Техническая по возраст группам'!D55</f>
        <v xml:space="preserve"> </v>
      </c>
      <c r="E43" s="1051">
        <f>'Техническая по возраст группам'!E55</f>
        <v>0</v>
      </c>
      <c r="F43" s="452" t="str">
        <f>IF('Техническая по возраст группам'!G55="Ж","спортсменка",IF('Техническая по возраст группам'!G55="М","спортсмен","не понятно кто"))</f>
        <v>спортсмен</v>
      </c>
      <c r="G43" s="452" t="str">
        <f ca="1">'Техническая по возраст группам'!H55</f>
        <v>г.р.???</v>
      </c>
      <c r="H43" s="452" t="str">
        <f>'Техническая по возраст группам'!B55</f>
        <v>МСМК</v>
      </c>
      <c r="I43" s="1769" t="str">
        <f>'Техническая по возраст группам'!I55</f>
        <v>Фамилия_1 Имя Отчество</v>
      </c>
      <c r="J43" s="1770"/>
      <c r="K43" s="453"/>
    </row>
    <row r="44" spans="1:11" s="423" customFormat="1" ht="21" customHeight="1">
      <c r="A44" s="512">
        <v>36</v>
      </c>
      <c r="B44" s="1814" t="str">
        <f>'Техническая по возраст группам'!C56</f>
        <v>Юноши</v>
      </c>
      <c r="C44" s="1815"/>
      <c r="D44" s="1050" t="str">
        <f>'Техническая по возраст группам'!D56</f>
        <v xml:space="preserve"> </v>
      </c>
      <c r="E44" s="1051">
        <f>'Техническая по возраст группам'!E56</f>
        <v>0</v>
      </c>
      <c r="F44" s="452" t="str">
        <f>IF('Техническая по возраст группам'!G56="Ж","спортсменка",IF('Техническая по возраст группам'!G56="М","спортсмен","не понятно кто"))</f>
        <v>спортсмен</v>
      </c>
      <c r="G44" s="452" t="str">
        <f ca="1">'Техническая по возраст группам'!H56</f>
        <v>г.р.???</v>
      </c>
      <c r="H44" s="452" t="str">
        <f>'Техническая по возраст группам'!B56</f>
        <v>МС</v>
      </c>
      <c r="I44" s="1769" t="str">
        <f>'Техническая по возраст группам'!I56</f>
        <v>Фамилия_1 Имя Отчество</v>
      </c>
      <c r="J44" s="1770"/>
      <c r="K44" s="453"/>
    </row>
    <row r="45" spans="1:11" s="423" customFormat="1" ht="21" customHeight="1">
      <c r="A45" s="512">
        <v>37</v>
      </c>
      <c r="B45" s="1814" t="str">
        <f>'Техническая по возраст группам'!C57</f>
        <v>Юноши</v>
      </c>
      <c r="C45" s="1815"/>
      <c r="D45" s="1050" t="str">
        <f>'Техническая по возраст группам'!D57</f>
        <v xml:space="preserve"> </v>
      </c>
      <c r="E45" s="1051">
        <f>'Техническая по возраст группам'!E57</f>
        <v>0</v>
      </c>
      <c r="F45" s="452" t="str">
        <f>IF('Техническая по возраст группам'!G57="Ж","спортсменка",IF('Техническая по возраст группам'!G57="М","спортсмен","не понятно кто"))</f>
        <v>спортсмен</v>
      </c>
      <c r="G45" s="452" t="str">
        <f ca="1">'Техническая по возраст группам'!H57</f>
        <v>г.р.???</v>
      </c>
      <c r="H45" s="452" t="str">
        <f>'Техническая по возраст группам'!B57</f>
        <v>КМС</v>
      </c>
      <c r="I45" s="1769" t="str">
        <f>'Техническая по возраст группам'!I57</f>
        <v>Фамилия_1 Имя Отчество</v>
      </c>
      <c r="J45" s="1770"/>
      <c r="K45" s="453"/>
    </row>
    <row r="46" spans="1:11" s="423" customFormat="1" ht="21" customHeight="1">
      <c r="A46" s="512">
        <v>38</v>
      </c>
      <c r="B46" s="1814" t="str">
        <f>'Техническая по возраст группам'!C58</f>
        <v>Юноши</v>
      </c>
      <c r="C46" s="1815"/>
      <c r="D46" s="1050" t="str">
        <f>'Техническая по возраст группам'!D58</f>
        <v xml:space="preserve"> </v>
      </c>
      <c r="E46" s="1051">
        <f>'Техническая по возраст группам'!E58</f>
        <v>0</v>
      </c>
      <c r="F46" s="452" t="str">
        <f>IF('Техническая по возраст группам'!G58="Ж","спортсменка",IF('Техническая по возраст группам'!G58="М","спортсмен","не понятно кто"))</f>
        <v>спортсмен</v>
      </c>
      <c r="G46" s="452" t="str">
        <f ca="1">'Техническая по возраст группам'!H58</f>
        <v>г.р.???</v>
      </c>
      <c r="H46" s="452" t="str">
        <f>'Техническая по возраст группам'!B58</f>
        <v>КМС</v>
      </c>
      <c r="I46" s="1769" t="str">
        <f>'Техническая по возраст группам'!I58</f>
        <v>Фамилия_1 Имя Отчество</v>
      </c>
      <c r="J46" s="1770"/>
      <c r="K46" s="453"/>
    </row>
    <row r="47" spans="1:11" s="423" customFormat="1" ht="21" customHeight="1">
      <c r="A47" s="512">
        <v>39</v>
      </c>
      <c r="B47" s="1814" t="str">
        <f>'Техническая по возраст группам'!C59</f>
        <v>Юноши</v>
      </c>
      <c r="C47" s="1815"/>
      <c r="D47" s="1050" t="str">
        <f>'Техническая по возраст группам'!D59</f>
        <v xml:space="preserve"> </v>
      </c>
      <c r="E47" s="1051">
        <f>'Техническая по возраст группам'!E59</f>
        <v>0</v>
      </c>
      <c r="F47" s="452" t="str">
        <f>IF('Техническая по возраст группам'!G59="Ж","спортсменка",IF('Техническая по возраст группам'!G59="М","спортсмен","не понятно кто"))</f>
        <v>спортсмен</v>
      </c>
      <c r="G47" s="452" t="str">
        <f ca="1">'Техническая по возраст группам'!H59</f>
        <v>г.р.???</v>
      </c>
      <c r="H47" s="452" t="str">
        <f>'Техническая по возраст группам'!B59</f>
        <v>КМС</v>
      </c>
      <c r="I47" s="1769" t="str">
        <f>'Техническая по возраст группам'!I59</f>
        <v>Фамилия_1 Имя Отчество</v>
      </c>
      <c r="J47" s="1770"/>
      <c r="K47" s="453"/>
    </row>
    <row r="48" spans="1:11" s="423" customFormat="1" ht="21" customHeight="1">
      <c r="A48" s="512">
        <v>40</v>
      </c>
      <c r="B48" s="1814" t="str">
        <f>'Техническая по возраст группам'!C60</f>
        <v>Юноши</v>
      </c>
      <c r="C48" s="1815"/>
      <c r="D48" s="1050" t="str">
        <f>'Техническая по возраст группам'!D60</f>
        <v xml:space="preserve"> </v>
      </c>
      <c r="E48" s="1051">
        <f>'Техническая по возраст группам'!E60</f>
        <v>0</v>
      </c>
      <c r="F48" s="452" t="str">
        <f>IF('Техническая по возраст группам'!G60="Ж","спортсменка",IF('Техническая по возраст группам'!G60="М","спортсмен","не понятно кто"))</f>
        <v>спортсмен</v>
      </c>
      <c r="G48" s="452" t="str">
        <f ca="1">'Техническая по возраст группам'!H60</f>
        <v>г.р.???</v>
      </c>
      <c r="H48" s="452" t="str">
        <f>'Техническая по возраст группам'!B60</f>
        <v>КМС</v>
      </c>
      <c r="I48" s="1769" t="str">
        <f>'Техническая по возраст группам'!I60</f>
        <v>Фамилия_1 Имя Отчество</v>
      </c>
      <c r="J48" s="1770"/>
      <c r="K48" s="453"/>
    </row>
    <row r="49" spans="1:11" s="423" customFormat="1" ht="21" customHeight="1">
      <c r="A49" s="512">
        <v>41</v>
      </c>
      <c r="B49" s="1814" t="str">
        <f>'Техническая по возраст группам'!C61</f>
        <v>Юноши</v>
      </c>
      <c r="C49" s="1815"/>
      <c r="D49" s="1050" t="str">
        <f>'Техническая по возраст группам'!D61</f>
        <v xml:space="preserve"> </v>
      </c>
      <c r="E49" s="1051">
        <f>'Техническая по возраст группам'!E61</f>
        <v>0</v>
      </c>
      <c r="F49" s="452" t="str">
        <f>IF('Техническая по возраст группам'!G61="Ж","спортсменка",IF('Техническая по возраст группам'!G61="М","спортсмен","не понятно кто"))</f>
        <v>спортсмен</v>
      </c>
      <c r="G49" s="452" t="str">
        <f ca="1">'Техническая по возраст группам'!H61</f>
        <v>г.р.???</v>
      </c>
      <c r="H49" s="452" t="str">
        <f>'Техническая по возраст группам'!B61</f>
        <v>II юн</v>
      </c>
      <c r="I49" s="1769" t="str">
        <f>'Техническая по возраст группам'!I61</f>
        <v>Фамилия_1 Имя Отчество</v>
      </c>
      <c r="J49" s="1770"/>
      <c r="K49" s="453"/>
    </row>
    <row r="50" spans="1:11" s="423" customFormat="1" ht="21" customHeight="1">
      <c r="A50" s="512">
        <v>42</v>
      </c>
      <c r="B50" s="1814" t="str">
        <f>'Техническая по возраст группам'!C62</f>
        <v>Юноши</v>
      </c>
      <c r="C50" s="1815"/>
      <c r="D50" s="1050" t="str">
        <f>'Техническая по возраст группам'!D62</f>
        <v xml:space="preserve"> </v>
      </c>
      <c r="E50" s="1051">
        <f>'Техническая по возраст группам'!E62</f>
        <v>0</v>
      </c>
      <c r="F50" s="452" t="str">
        <f>IF('Техническая по возраст группам'!G62="Ж","спортсменка",IF('Техническая по возраст группам'!G62="М","спортсмен","не понятно кто"))</f>
        <v>спортсмен</v>
      </c>
      <c r="G50" s="452" t="str">
        <f ca="1">'Техническая по возраст группам'!H62</f>
        <v>г.р.???</v>
      </c>
      <c r="H50" s="452" t="str">
        <f>'Техническая по возраст группам'!B62</f>
        <v>II юн</v>
      </c>
      <c r="I50" s="1769" t="str">
        <f>'Техническая по возраст группам'!I62</f>
        <v>Фамилия_1 Имя Отчество</v>
      </c>
      <c r="J50" s="1770"/>
      <c r="K50" s="453"/>
    </row>
    <row r="51" spans="1:11" s="423" customFormat="1" ht="21" customHeight="1">
      <c r="A51" s="512">
        <v>43</v>
      </c>
      <c r="B51" s="1814" t="str">
        <f>'Техническая по возраст группам'!C63</f>
        <v>Юноши</v>
      </c>
      <c r="C51" s="1815"/>
      <c r="D51" s="1050" t="str">
        <f>'Техническая по возраст группам'!D63</f>
        <v xml:space="preserve"> </v>
      </c>
      <c r="E51" s="1051">
        <f>'Техническая по возраст группам'!E63</f>
        <v>0</v>
      </c>
      <c r="F51" s="452" t="str">
        <f>IF('Техническая по возраст группам'!G63="Ж","спортсменка",IF('Техническая по возраст группам'!G63="М","спортсмен","не понятно кто"))</f>
        <v>спортсмен</v>
      </c>
      <c r="G51" s="452" t="str">
        <f ca="1">'Техническая по возраст группам'!H63</f>
        <v>г.р.???</v>
      </c>
      <c r="H51" s="452" t="str">
        <f>'Техническая по возраст группам'!B63</f>
        <v>II юн</v>
      </c>
      <c r="I51" s="1769" t="str">
        <f>'Техническая по возраст группам'!I63</f>
        <v>Фамилия_1 Имя Отчество</v>
      </c>
      <c r="J51" s="1770"/>
      <c r="K51" s="453"/>
    </row>
    <row r="52" spans="1:11" s="423" customFormat="1" ht="21" customHeight="1">
      <c r="A52" s="512">
        <v>44</v>
      </c>
      <c r="B52" s="1814" t="str">
        <f>'Техническая по возраст группам'!C64</f>
        <v>Юноши</v>
      </c>
      <c r="C52" s="1815"/>
      <c r="D52" s="1050" t="str">
        <f>'Техническая по возраст группам'!D64</f>
        <v xml:space="preserve"> </v>
      </c>
      <c r="E52" s="1051">
        <f>'Техническая по возраст группам'!E64</f>
        <v>0</v>
      </c>
      <c r="F52" s="452" t="str">
        <f>IF('Техническая по возраст группам'!G64="Ж","спортсменка",IF('Техническая по возраст группам'!G64="М","спортсмен","не понятно кто"))</f>
        <v>спортсмен</v>
      </c>
      <c r="G52" s="452" t="str">
        <f ca="1">'Техническая по возраст группам'!H64</f>
        <v>г.р.???</v>
      </c>
      <c r="H52" s="452" t="str">
        <f>'Техническая по возраст группам'!B64</f>
        <v>II юн</v>
      </c>
      <c r="I52" s="1769" t="str">
        <f>'Техническая по возраст группам'!I64</f>
        <v>Фамилия_1 Имя Отчество</v>
      </c>
      <c r="J52" s="1770"/>
      <c r="K52" s="453"/>
    </row>
    <row r="53" spans="1:11" s="423" customFormat="1" ht="21" customHeight="1">
      <c r="A53" s="512">
        <v>45</v>
      </c>
      <c r="B53" s="1814" t="str">
        <f>'Техническая по возраст группам'!C65</f>
        <v>Юноши</v>
      </c>
      <c r="C53" s="1815"/>
      <c r="D53" s="1050" t="str">
        <f>'Техническая по возраст группам'!D65</f>
        <v xml:space="preserve"> </v>
      </c>
      <c r="E53" s="1051">
        <f>'Техническая по возраст группам'!E65</f>
        <v>0</v>
      </c>
      <c r="F53" s="452" t="str">
        <f>IF('Техническая по возраст группам'!G65="Ж","спортсменка",IF('Техническая по возраст группам'!G65="М","спортсмен","не понятно кто"))</f>
        <v>спортсмен</v>
      </c>
      <c r="G53" s="452" t="str">
        <f ca="1">'Техническая по возраст группам'!H65</f>
        <v>г.р.???</v>
      </c>
      <c r="H53" s="452" t="str">
        <f>'Техническая по возраст группам'!B65</f>
        <v>II юн</v>
      </c>
      <c r="I53" s="1769" t="str">
        <f>'Техническая по возраст группам'!I65</f>
        <v>Фамилия_1 Имя Отчество</v>
      </c>
      <c r="J53" s="1770"/>
      <c r="K53" s="453"/>
    </row>
    <row r="54" spans="1:11" s="423" customFormat="1" ht="21" customHeight="1">
      <c r="A54" s="512">
        <v>46</v>
      </c>
      <c r="B54" s="1814" t="str">
        <f>'Техническая по возраст группам'!C66</f>
        <v>Юноши</v>
      </c>
      <c r="C54" s="1815"/>
      <c r="D54" s="1050" t="str">
        <f>'Техническая по возраст группам'!D66</f>
        <v xml:space="preserve"> </v>
      </c>
      <c r="E54" s="1051">
        <f>'Техническая по возраст группам'!E66</f>
        <v>0</v>
      </c>
      <c r="F54" s="452" t="str">
        <f>IF('Техническая по возраст группам'!G66="Ж","спортсменка",IF('Техническая по возраст группам'!G66="М","спортсмен","не понятно кто"))</f>
        <v>спортсмен</v>
      </c>
      <c r="G54" s="452" t="str">
        <f ca="1">'Техническая по возраст группам'!H66</f>
        <v>г.р.???</v>
      </c>
      <c r="H54" s="452" t="str">
        <f>'Техническая по возраст группам'!B66</f>
        <v>III юн</v>
      </c>
      <c r="I54" s="1769" t="str">
        <f>'Техническая по возраст группам'!I66</f>
        <v>Фамилия_1 Имя Отчество</v>
      </c>
      <c r="J54" s="1770"/>
      <c r="K54" s="453"/>
    </row>
    <row r="55" spans="1:11" s="423" customFormat="1" ht="21" customHeight="1">
      <c r="A55" s="512">
        <v>47</v>
      </c>
      <c r="B55" s="1814" t="str">
        <f>'Техническая по возраст группам'!C67</f>
        <v>Юноши</v>
      </c>
      <c r="C55" s="1815"/>
      <c r="D55" s="1050" t="str">
        <f>'Техническая по возраст группам'!D67</f>
        <v xml:space="preserve"> </v>
      </c>
      <c r="E55" s="1051">
        <f>'Техническая по возраст группам'!E67</f>
        <v>0</v>
      </c>
      <c r="F55" s="452" t="str">
        <f>IF('Техническая по возраст группам'!G67="Ж","спортсменка",IF('Техническая по возраст группам'!G67="М","спортсмен","не понятно кто"))</f>
        <v>спортсмен</v>
      </c>
      <c r="G55" s="452" t="str">
        <f ca="1">'Техническая по возраст группам'!H67</f>
        <v>г.р.???</v>
      </c>
      <c r="H55" s="452" t="str">
        <f>'Техническая по возраст группам'!B67</f>
        <v>I юн</v>
      </c>
      <c r="I55" s="1769" t="str">
        <f>'Техническая по возраст группам'!I67</f>
        <v>Фамилия_1 Имя Отчество</v>
      </c>
      <c r="J55" s="1770"/>
      <c r="K55" s="453"/>
    </row>
    <row r="56" spans="1:11" s="423" customFormat="1" ht="21" customHeight="1">
      <c r="A56" s="512">
        <v>48</v>
      </c>
      <c r="B56" s="1814" t="str">
        <f>'Техническая по возраст группам'!C68</f>
        <v>Юноши</v>
      </c>
      <c r="C56" s="1815"/>
      <c r="D56" s="1050" t="str">
        <f>'Техническая по возраст группам'!D68</f>
        <v xml:space="preserve"> </v>
      </c>
      <c r="E56" s="1051">
        <f>'Техническая по возраст группам'!E68</f>
        <v>0</v>
      </c>
      <c r="F56" s="452" t="str">
        <f>IF('Техническая по возраст группам'!G68="Ж","спортсменка",IF('Техническая по возраст группам'!G68="М","спортсмен","не понятно кто"))</f>
        <v>спортсмен</v>
      </c>
      <c r="G56" s="452" t="str">
        <f ca="1">'Техническая по возраст группам'!H68</f>
        <v>г.р.???</v>
      </c>
      <c r="H56" s="452" t="str">
        <f>'Техническая по возраст группам'!B68</f>
        <v>III</v>
      </c>
      <c r="I56" s="1769" t="str">
        <f>'Техническая по возраст группам'!I68</f>
        <v>Фамилия_1 Имя Отчество</v>
      </c>
      <c r="J56" s="1770"/>
      <c r="K56" s="453"/>
    </row>
    <row r="57" spans="1:11" s="423" customFormat="1" ht="21" customHeight="1">
      <c r="A57" s="512">
        <v>49</v>
      </c>
      <c r="B57" s="1814" t="str">
        <f>'Техническая по возраст группам'!C69</f>
        <v>Юноши</v>
      </c>
      <c r="C57" s="1815"/>
      <c r="D57" s="1050" t="str">
        <f>'Техническая по возраст группам'!D69</f>
        <v xml:space="preserve"> </v>
      </c>
      <c r="E57" s="1051">
        <f>'Техническая по возраст группам'!E69</f>
        <v>0</v>
      </c>
      <c r="F57" s="452" t="str">
        <f>IF('Техническая по возраст группам'!G69="Ж","спортсменка",IF('Техническая по возраст группам'!G69="М","спортсмен","не понятно кто"))</f>
        <v>спортсмен</v>
      </c>
      <c r="G57" s="452" t="str">
        <f ca="1">'Техническая по возраст группам'!H69</f>
        <v>г.р.???</v>
      </c>
      <c r="H57" s="452" t="str">
        <f>'Техническая по возраст группам'!B69</f>
        <v>I юн</v>
      </c>
      <c r="I57" s="1769" t="str">
        <f>'Техническая по возраст группам'!I69</f>
        <v>Фамилия_1 Имя Отчество</v>
      </c>
      <c r="J57" s="1770"/>
      <c r="K57" s="453"/>
    </row>
    <row r="58" spans="1:11" s="423" customFormat="1" ht="21" customHeight="1">
      <c r="A58" s="512">
        <v>50</v>
      </c>
      <c r="B58" s="1814" t="str">
        <f>'Техническая по возраст группам'!C70</f>
        <v>Юноши</v>
      </c>
      <c r="C58" s="1815"/>
      <c r="D58" s="1050" t="str">
        <f>'Техническая по возраст группам'!D70</f>
        <v xml:space="preserve"> </v>
      </c>
      <c r="E58" s="1051">
        <f>'Техническая по возраст группам'!E70</f>
        <v>0</v>
      </c>
      <c r="F58" s="452" t="str">
        <f>IF('Техническая по возраст группам'!G70="Ж","спортсменка",IF('Техническая по возраст группам'!G70="М","спортсмен","не понятно кто"))</f>
        <v>спортсмен</v>
      </c>
      <c r="G58" s="452" t="str">
        <f ca="1">'Техническая по возраст группам'!H70</f>
        <v>г.р.???</v>
      </c>
      <c r="H58" s="452" t="str">
        <f>'Техническая по возраст группам'!B70</f>
        <v>II юн</v>
      </c>
      <c r="I58" s="1769" t="str">
        <f>'Техническая по возраст группам'!I70</f>
        <v>Фамилия_1 Имя Отчество</v>
      </c>
      <c r="J58" s="1770"/>
      <c r="K58" s="453"/>
    </row>
    <row r="59" spans="1:11" ht="12" customHeight="1">
      <c r="A59" s="422"/>
      <c r="B59" s="428"/>
      <c r="C59" s="428"/>
      <c r="D59" s="429"/>
      <c r="E59" s="422"/>
      <c r="F59" s="422"/>
      <c r="G59" s="422"/>
      <c r="H59" s="430"/>
      <c r="I59" s="460"/>
      <c r="J59" s="426"/>
      <c r="K59" s="429"/>
    </row>
    <row r="60" spans="1:11" s="423" customFormat="1" ht="24.75" customHeight="1">
      <c r="A60" s="431"/>
      <c r="B60" s="425" t="s">
        <v>340</v>
      </c>
      <c r="C60" s="425"/>
      <c r="D60" s="432" t="str">
        <f>'Техническая по возраст группам'!E75</f>
        <v>Фамилия_1 Имя Отчество</v>
      </c>
      <c r="E60" s="433"/>
      <c r="F60" s="433"/>
      <c r="G60" s="425" t="s">
        <v>344</v>
      </c>
      <c r="H60" s="1771"/>
      <c r="I60" s="1771"/>
      <c r="J60" s="1771"/>
      <c r="K60" s="1771"/>
    </row>
    <row r="61" spans="1:11" s="423" customFormat="1" ht="24.75" customHeight="1">
      <c r="A61" s="422"/>
      <c r="B61" s="439"/>
      <c r="C61" s="439"/>
      <c r="D61" s="432" t="str">
        <f>'Техническая по возраст группам'!E76</f>
        <v>Фамилия_2 Имя Отчество</v>
      </c>
      <c r="E61" s="435"/>
      <c r="F61" s="435"/>
      <c r="G61" s="436"/>
      <c r="H61" s="1772"/>
      <c r="I61" s="1772"/>
      <c r="J61" s="1772"/>
      <c r="K61" s="1772"/>
    </row>
    <row r="62" spans="1:11" s="423" customFormat="1" ht="24.75" customHeight="1">
      <c r="A62" s="422"/>
      <c r="B62" s="439"/>
      <c r="C62" s="439"/>
      <c r="D62" s="432" t="str">
        <f>'Техническая по возраст группам'!E77</f>
        <v>Фамилия_3 Имя Отчество</v>
      </c>
      <c r="E62" s="435"/>
      <c r="F62" s="435"/>
      <c r="G62" s="436"/>
      <c r="H62" s="1772"/>
      <c r="I62" s="1772"/>
      <c r="J62" s="1772"/>
      <c r="K62" s="1772"/>
    </row>
    <row r="63" spans="1:11" s="423" customFormat="1" ht="21" customHeight="1">
      <c r="A63" s="436"/>
      <c r="B63" s="439"/>
      <c r="C63" s="439"/>
      <c r="D63" s="439"/>
      <c r="E63" s="436"/>
      <c r="F63" s="436"/>
      <c r="G63" s="436"/>
      <c r="H63" s="436"/>
      <c r="I63" s="436"/>
      <c r="J63" s="436"/>
      <c r="K63" s="437"/>
    </row>
    <row r="64" spans="1:11" s="423" customFormat="1" ht="17.25" customHeight="1">
      <c r="D64" s="447" t="s">
        <v>347</v>
      </c>
      <c r="E64" s="433"/>
      <c r="F64" s="433"/>
      <c r="G64" s="433"/>
      <c r="H64" s="1768" t="str">
        <f>'Техническая по возраст группам'!E75</f>
        <v>Фамилия_1 Имя Отчество</v>
      </c>
      <c r="I64" s="1768"/>
      <c r="J64" s="1768"/>
      <c r="K64" s="1768"/>
    </row>
    <row r="65" spans="1:11" s="466" customFormat="1" ht="12.75" customHeight="1">
      <c r="A65" s="465"/>
      <c r="B65" s="465"/>
      <c r="C65" s="465"/>
      <c r="F65" s="462" t="s">
        <v>120</v>
      </c>
      <c r="G65" s="464"/>
      <c r="H65" s="462"/>
      <c r="I65" s="462"/>
      <c r="J65" s="462" t="s">
        <v>121</v>
      </c>
      <c r="K65" s="467"/>
    </row>
    <row r="66" spans="1:11" s="445" customFormat="1" ht="21" customHeight="1">
      <c r="A66" s="444"/>
      <c r="B66" s="444"/>
      <c r="C66" s="444"/>
      <c r="F66" s="130"/>
      <c r="G66" s="448"/>
      <c r="H66" s="130"/>
      <c r="I66" s="130"/>
      <c r="J66" s="130"/>
      <c r="K66" s="446"/>
    </row>
    <row r="67" spans="1:11" s="423" customFormat="1" ht="18">
      <c r="A67" s="84" t="s">
        <v>986</v>
      </c>
      <c r="B67" s="84"/>
      <c r="C67" s="84"/>
      <c r="D67" s="761"/>
      <c r="E67" s="760"/>
      <c r="F67" s="1818" t="s">
        <v>987</v>
      </c>
      <c r="G67" s="1818"/>
      <c r="H67" s="461"/>
      <c r="I67" s="509"/>
      <c r="J67" s="1765"/>
      <c r="K67" s="1765"/>
    </row>
    <row r="68" spans="1:11" s="464" customFormat="1" ht="12.75">
      <c r="A68" s="463"/>
      <c r="B68" s="463"/>
      <c r="C68" s="463"/>
      <c r="E68" s="463"/>
      <c r="F68" s="462"/>
      <c r="I68" s="462" t="s">
        <v>120</v>
      </c>
      <c r="J68" s="462"/>
      <c r="K68" s="462" t="s">
        <v>121</v>
      </c>
    </row>
    <row r="70" spans="1:11" s="423" customFormat="1" ht="33.75" customHeight="1">
      <c r="A70" s="1766" t="s">
        <v>370</v>
      </c>
      <c r="B70" s="1767"/>
      <c r="C70" s="1767"/>
      <c r="D70" s="1767"/>
      <c r="E70" s="441"/>
      <c r="F70" s="441"/>
      <c r="G70" s="441"/>
      <c r="H70" s="441"/>
      <c r="I70" s="1765"/>
      <c r="J70" s="1765"/>
      <c r="K70" s="1765"/>
    </row>
    <row r="71" spans="1:11" s="466" customFormat="1" ht="12.75" customHeight="1">
      <c r="A71" s="465"/>
      <c r="B71" s="465"/>
      <c r="C71" s="465"/>
      <c r="F71" s="462" t="s">
        <v>120</v>
      </c>
      <c r="G71" s="464"/>
      <c r="H71" s="462"/>
      <c r="I71" s="462"/>
      <c r="J71" s="462" t="s">
        <v>121</v>
      </c>
      <c r="K71" s="467"/>
    </row>
    <row r="72" spans="1:11" s="423" customFormat="1" ht="12" customHeight="1">
      <c r="A72" s="438"/>
      <c r="B72" s="427"/>
      <c r="C72" s="427"/>
      <c r="D72" s="427"/>
      <c r="E72" s="427"/>
      <c r="F72" s="427"/>
      <c r="G72" s="427"/>
      <c r="H72" s="427"/>
      <c r="I72" s="427"/>
      <c r="J72" s="427"/>
      <c r="K72" s="427"/>
    </row>
    <row r="73" spans="1:11" s="423" customFormat="1" ht="33.75" customHeight="1">
      <c r="A73" s="1766" t="s">
        <v>350</v>
      </c>
      <c r="B73" s="1767"/>
      <c r="C73" s="1767"/>
      <c r="D73" s="1767"/>
      <c r="E73" s="441"/>
      <c r="F73" s="441"/>
      <c r="G73" s="441"/>
      <c r="H73" s="441"/>
      <c r="I73" s="1765"/>
      <c r="J73" s="1765"/>
      <c r="K73" s="1765"/>
    </row>
    <row r="74" spans="1:11" s="466" customFormat="1" ht="12.75" customHeight="1">
      <c r="A74" s="465"/>
      <c r="B74" s="465"/>
      <c r="C74" s="465"/>
      <c r="F74" s="462" t="s">
        <v>120</v>
      </c>
      <c r="G74" s="464"/>
      <c r="H74" s="462"/>
      <c r="I74" s="462"/>
      <c r="J74" s="462" t="s">
        <v>121</v>
      </c>
      <c r="K74" s="467"/>
    </row>
    <row r="75" spans="1:11" s="423" customFormat="1" ht="12" customHeight="1">
      <c r="A75" s="438"/>
      <c r="B75" s="438"/>
      <c r="C75" s="438"/>
      <c r="D75" s="427"/>
      <c r="E75" s="422"/>
      <c r="F75" s="422"/>
      <c r="G75" s="422"/>
      <c r="H75" s="427"/>
      <c r="I75" s="427"/>
      <c r="J75" s="422"/>
      <c r="K75" s="422"/>
    </row>
    <row r="76" spans="1:11" s="423" customFormat="1" ht="18">
      <c r="A76" s="440"/>
      <c r="B76" s="440"/>
      <c r="C76" s="440"/>
      <c r="D76" s="440"/>
      <c r="E76" s="440"/>
      <c r="F76" s="440"/>
      <c r="G76" s="440"/>
      <c r="H76" s="440"/>
      <c r="I76" s="440"/>
      <c r="J76" s="440"/>
      <c r="K76" s="440"/>
    </row>
  </sheetData>
  <mergeCells count="119">
    <mergeCell ref="B54:C54"/>
    <mergeCell ref="B55:C55"/>
    <mergeCell ref="B56:C56"/>
    <mergeCell ref="B57:C57"/>
    <mergeCell ref="B58:C58"/>
    <mergeCell ref="B49:C49"/>
    <mergeCell ref="B50:C50"/>
    <mergeCell ref="B51:C51"/>
    <mergeCell ref="B52:C52"/>
    <mergeCell ref="B53:C53"/>
    <mergeCell ref="B44:C44"/>
    <mergeCell ref="B45:C45"/>
    <mergeCell ref="B46:C46"/>
    <mergeCell ref="B47:C47"/>
    <mergeCell ref="B48:C48"/>
    <mergeCell ref="B39:C39"/>
    <mergeCell ref="B40:C40"/>
    <mergeCell ref="B41:C41"/>
    <mergeCell ref="B42:C42"/>
    <mergeCell ref="B43:C43"/>
    <mergeCell ref="B35:C35"/>
    <mergeCell ref="B36:C36"/>
    <mergeCell ref="B37:C37"/>
    <mergeCell ref="B38:C38"/>
    <mergeCell ref="B29:C29"/>
    <mergeCell ref="B30:C30"/>
    <mergeCell ref="B31:C31"/>
    <mergeCell ref="B32:C32"/>
    <mergeCell ref="B33:C33"/>
    <mergeCell ref="D4:K4"/>
    <mergeCell ref="I55:J55"/>
    <mergeCell ref="I56:J56"/>
    <mergeCell ref="I57:J57"/>
    <mergeCell ref="I58:J58"/>
    <mergeCell ref="A70:D70"/>
    <mergeCell ref="I50:J50"/>
    <mergeCell ref="I51:J51"/>
    <mergeCell ref="I52:J52"/>
    <mergeCell ref="I53:J53"/>
    <mergeCell ref="I54:J54"/>
    <mergeCell ref="I45:J45"/>
    <mergeCell ref="I46:J46"/>
    <mergeCell ref="I47:J47"/>
    <mergeCell ref="I37:J37"/>
    <mergeCell ref="I38:J38"/>
    <mergeCell ref="I39:J39"/>
    <mergeCell ref="I48:J48"/>
    <mergeCell ref="I49:J49"/>
    <mergeCell ref="I40:J40"/>
    <mergeCell ref="I41:J41"/>
    <mergeCell ref="I42:J42"/>
    <mergeCell ref="I43:J43"/>
    <mergeCell ref="B24:C24"/>
    <mergeCell ref="B16:C16"/>
    <mergeCell ref="I22:J22"/>
    <mergeCell ref="I23:J23"/>
    <mergeCell ref="I24:J24"/>
    <mergeCell ref="I25:J25"/>
    <mergeCell ref="I26:J26"/>
    <mergeCell ref="I17:J17"/>
    <mergeCell ref="I18:J18"/>
    <mergeCell ref="I19:J19"/>
    <mergeCell ref="I20:J20"/>
    <mergeCell ref="I21:J21"/>
    <mergeCell ref="B25:C25"/>
    <mergeCell ref="B26:C26"/>
    <mergeCell ref="B19:C19"/>
    <mergeCell ref="B20:C20"/>
    <mergeCell ref="B21:C21"/>
    <mergeCell ref="B22:C22"/>
    <mergeCell ref="B23:C23"/>
    <mergeCell ref="H1:K2"/>
    <mergeCell ref="A3:K3"/>
    <mergeCell ref="A5:B5"/>
    <mergeCell ref="D5:K5"/>
    <mergeCell ref="A6:B6"/>
    <mergeCell ref="D6:I6"/>
    <mergeCell ref="F67:G67"/>
    <mergeCell ref="I12:J12"/>
    <mergeCell ref="I13:J13"/>
    <mergeCell ref="I14:J14"/>
    <mergeCell ref="I15:J15"/>
    <mergeCell ref="I16:J16"/>
    <mergeCell ref="B8:D8"/>
    <mergeCell ref="I8:J8"/>
    <mergeCell ref="I9:J9"/>
    <mergeCell ref="I10:J10"/>
    <mergeCell ref="I11:J11"/>
    <mergeCell ref="B9:C9"/>
    <mergeCell ref="B10:C10"/>
    <mergeCell ref="B11:C11"/>
    <mergeCell ref="B12:C12"/>
    <mergeCell ref="B13:C13"/>
    <mergeCell ref="B14:C14"/>
    <mergeCell ref="B15:C15"/>
    <mergeCell ref="I70:K70"/>
    <mergeCell ref="I73:K73"/>
    <mergeCell ref="H60:K60"/>
    <mergeCell ref="H61:K61"/>
    <mergeCell ref="H62:K62"/>
    <mergeCell ref="H64:K64"/>
    <mergeCell ref="J67:K67"/>
    <mergeCell ref="B17:C17"/>
    <mergeCell ref="B18:C18"/>
    <mergeCell ref="I44:J44"/>
    <mergeCell ref="I32:J32"/>
    <mergeCell ref="I33:J33"/>
    <mergeCell ref="I34:J34"/>
    <mergeCell ref="I35:J35"/>
    <mergeCell ref="I36:J36"/>
    <mergeCell ref="I27:J27"/>
    <mergeCell ref="I28:J28"/>
    <mergeCell ref="I29:J29"/>
    <mergeCell ref="I30:J30"/>
    <mergeCell ref="I31:J31"/>
    <mergeCell ref="A73:D73"/>
    <mergeCell ref="B27:C27"/>
    <mergeCell ref="B28:C28"/>
    <mergeCell ref="B34:C34"/>
  </mergeCells>
  <pageMargins left="0.31496062992125984" right="0.31496062992125984" top="0.55118110236220474" bottom="0.31496062992125984" header="0" footer="0.11811023622047245"/>
  <pageSetup paperSize="9" orientation="landscape" verticalDpi="300" r:id="rId1"/>
  <headerFooter>
    <oddFooter>&amp;R&amp;"Times New Roman,курсив"&amp;8Стр. &amp;P из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Лист8">
    <tabColor rgb="FF00B050"/>
  </sheetPr>
  <dimension ref="A1:DU119"/>
  <sheetViews>
    <sheetView topLeftCell="A28" workbookViewId="0">
      <selection activeCell="L34" sqref="L34"/>
    </sheetView>
  </sheetViews>
  <sheetFormatPr defaultColWidth="9.14453125" defaultRowHeight="15"/>
  <cols>
    <col min="1" max="1" width="2.6875" style="232" customWidth="1"/>
    <col min="2" max="2" width="6.58984375" style="232" customWidth="1"/>
    <col min="3" max="3" width="4.5703125" style="232" customWidth="1"/>
    <col min="4" max="4" width="5.24609375" style="232" customWidth="1"/>
    <col min="5" max="5" width="6.3203125" style="232" customWidth="1"/>
    <col min="6" max="6" width="8.609375" style="232" customWidth="1"/>
    <col min="7" max="7" width="4.4375" style="232" customWidth="1"/>
    <col min="8" max="8" width="11.02734375" style="232" customWidth="1"/>
    <col min="9" max="16" width="2.6875" style="232" customWidth="1"/>
    <col min="17" max="17" width="4.83984375" style="232" customWidth="1"/>
    <col min="18" max="19" width="2.28515625" style="232" customWidth="1"/>
    <col min="20" max="20" width="2.015625" style="232" bestFit="1" customWidth="1"/>
    <col min="21" max="21" width="2.95703125" style="232" bestFit="1" customWidth="1"/>
    <col min="22" max="22" width="4.9765625" style="232" customWidth="1"/>
    <col min="23" max="24" width="2.28515625" style="232" customWidth="1"/>
    <col min="25" max="26" width="2.95703125" style="232" bestFit="1" customWidth="1"/>
    <col min="27" max="27" width="5.109375" style="232" customWidth="1"/>
    <col min="28" max="29" width="2.28515625" style="232" customWidth="1"/>
    <col min="30" max="30" width="2.15234375" style="232" customWidth="1"/>
    <col min="31" max="31" width="2.95703125" style="232" bestFit="1" customWidth="1"/>
    <col min="32" max="32" width="5.37890625" style="232" customWidth="1"/>
    <col min="33" max="35" width="2.28515625" style="232" customWidth="1"/>
    <col min="36" max="36" width="2.95703125" style="232" bestFit="1" customWidth="1"/>
    <col min="37" max="37" width="5.6484375" style="232" customWidth="1"/>
    <col min="38" max="39" width="2.28515625" style="232" customWidth="1"/>
    <col min="40" max="40" width="2.015625" style="232" customWidth="1"/>
    <col min="41" max="41" width="2.95703125" style="232" bestFit="1" customWidth="1"/>
    <col min="42" max="42" width="4.70703125" style="232" customWidth="1"/>
    <col min="43" max="44" width="2.28515625" style="232" customWidth="1"/>
    <col min="45" max="45" width="2.015625" style="232" bestFit="1" customWidth="1"/>
    <col min="46" max="46" width="2.95703125" style="232" bestFit="1" customWidth="1"/>
    <col min="47" max="47" width="6.1875" style="232" customWidth="1"/>
    <col min="48" max="49" width="2.28515625" style="232" customWidth="1"/>
    <col min="50" max="50" width="2.41796875" style="232" customWidth="1"/>
    <col min="51" max="51" width="2.95703125" style="232" bestFit="1" customWidth="1"/>
    <col min="52" max="52" width="5.37890625" style="232" customWidth="1"/>
    <col min="53" max="55" width="2.28515625" style="232" customWidth="1"/>
    <col min="56" max="56" width="2.95703125" style="232" bestFit="1" customWidth="1"/>
    <col min="57" max="57" width="5.109375" style="232" customWidth="1"/>
    <col min="58" max="59" width="2.28515625" style="232" customWidth="1"/>
    <col min="60" max="60" width="2.41796875" style="232" customWidth="1"/>
    <col min="61" max="61" width="2.95703125" style="232" bestFit="1" customWidth="1"/>
    <col min="62" max="62" width="5.51171875" style="232" customWidth="1"/>
    <col min="63" max="64" width="2.28515625" style="232" customWidth="1"/>
    <col min="65" max="65" width="2.41796875" style="232" customWidth="1"/>
    <col min="66" max="66" width="2.95703125" style="232" bestFit="1" customWidth="1"/>
    <col min="67" max="67" width="4.4375" style="232" customWidth="1"/>
    <col min="68" max="69" width="2.28515625" style="232" customWidth="1"/>
    <col min="70" max="70" width="2.015625" style="232" bestFit="1" customWidth="1"/>
    <col min="71" max="71" width="2.95703125" style="232" bestFit="1" customWidth="1"/>
    <col min="72" max="72" width="5.6484375" style="232" customWidth="1"/>
    <col min="73" max="74" width="2.28515625" style="232" customWidth="1"/>
    <col min="75" max="75" width="2.15234375" style="232" customWidth="1"/>
    <col min="76" max="76" width="2.95703125" style="232" bestFit="1" customWidth="1"/>
    <col min="77" max="77" width="6.05078125" style="232" customWidth="1"/>
    <col min="78" max="79" width="2.28515625" style="232" customWidth="1"/>
    <col min="80" max="80" width="2.015625" style="232" bestFit="1" customWidth="1"/>
    <col min="81" max="81" width="2.95703125" style="232" bestFit="1" customWidth="1"/>
    <col min="82" max="82" width="5.37890625" style="232" customWidth="1"/>
    <col min="83" max="84" width="2.28515625" style="232" customWidth="1"/>
    <col min="85" max="86" width="2.015625" style="232" bestFit="1" customWidth="1"/>
    <col min="87" max="87" width="5.91796875" style="232" customWidth="1"/>
    <col min="88" max="90" width="2.28515625" style="232" customWidth="1"/>
    <col min="91" max="92" width="2.015625" style="232" bestFit="1" customWidth="1"/>
    <col min="93" max="93" width="6.3203125" style="232" customWidth="1"/>
    <col min="94" max="96" width="2.28515625" style="232" customWidth="1"/>
    <col min="97" max="97" width="2.015625" style="232" bestFit="1" customWidth="1"/>
    <col min="98" max="98" width="2.5546875" style="232" customWidth="1"/>
    <col min="99" max="99" width="7.12890625" style="232" customWidth="1"/>
    <col min="100" max="102" width="2.28515625" style="232" customWidth="1"/>
    <col min="103" max="103" width="2.015625" style="232" bestFit="1" customWidth="1"/>
    <col min="104" max="104" width="2.6875" style="232" customWidth="1"/>
    <col min="105" max="105" width="6.1875" style="232" customWidth="1"/>
    <col min="106" max="109" width="2.95703125" style="232" bestFit="1" customWidth="1"/>
    <col min="110" max="110" width="2.95703125" style="232" customWidth="1"/>
    <col min="111" max="16384" width="9.14453125" style="232"/>
  </cols>
  <sheetData>
    <row r="1" spans="1:105" ht="18">
      <c r="A1" s="13"/>
      <c r="B1" s="211" t="s">
        <v>252</v>
      </c>
      <c r="C1" s="2"/>
      <c r="D1" s="104"/>
      <c r="E1" s="4"/>
      <c r="F1" s="4"/>
      <c r="G1" s="2"/>
      <c r="H1" s="2"/>
      <c r="I1" s="2"/>
      <c r="J1" s="2"/>
      <c r="K1" s="2"/>
      <c r="L1" s="2"/>
      <c r="M1" s="2"/>
      <c r="N1" s="2"/>
      <c r="O1" s="60"/>
      <c r="P1" s="60"/>
      <c r="Q1" s="2"/>
      <c r="R1" s="2"/>
      <c r="S1" s="2"/>
      <c r="T1" s="60"/>
      <c r="U1" s="60"/>
      <c r="V1" s="2"/>
      <c r="W1" s="2"/>
      <c r="X1" s="2"/>
      <c r="Y1" s="58"/>
      <c r="Z1" s="58"/>
      <c r="AA1" s="2"/>
      <c r="AB1" s="2"/>
      <c r="AC1" s="2"/>
      <c r="AD1" s="58"/>
      <c r="AE1" s="58"/>
      <c r="AF1" s="2"/>
      <c r="AG1" s="2"/>
      <c r="AH1" s="2"/>
      <c r="AI1" s="59"/>
      <c r="AJ1" s="59"/>
      <c r="AK1" s="2"/>
      <c r="AL1" s="2"/>
      <c r="AM1" s="2"/>
      <c r="AN1" s="59"/>
      <c r="AO1" s="59"/>
      <c r="AP1" s="2"/>
      <c r="AQ1" s="2"/>
      <c r="AR1" s="2"/>
      <c r="AS1" s="60"/>
      <c r="AT1" s="60"/>
      <c r="AU1" s="2"/>
      <c r="AV1" s="2"/>
      <c r="AW1" s="2"/>
      <c r="AX1" s="60"/>
      <c r="AY1" s="60"/>
      <c r="AZ1" s="2"/>
      <c r="BA1" s="2"/>
      <c r="BB1" s="2"/>
      <c r="BC1" s="60"/>
      <c r="BD1" s="60"/>
      <c r="BE1" s="2"/>
      <c r="BF1" s="2"/>
      <c r="BG1" s="2"/>
      <c r="BH1" s="60"/>
      <c r="BI1" s="102"/>
      <c r="BJ1" s="2"/>
      <c r="BK1" s="2"/>
      <c r="BL1" s="2"/>
      <c r="BM1" s="102"/>
      <c r="BN1" s="102"/>
      <c r="BO1" s="2"/>
      <c r="BP1" s="2"/>
      <c r="BQ1" s="2"/>
      <c r="BR1" s="102"/>
      <c r="BS1" s="102"/>
      <c r="BT1" s="2"/>
      <c r="BU1" s="2"/>
      <c r="BV1" s="2"/>
      <c r="BW1" s="102"/>
      <c r="BX1" s="90"/>
      <c r="BY1" s="2"/>
      <c r="BZ1" s="2"/>
      <c r="CA1" s="2"/>
      <c r="CB1" s="182"/>
      <c r="CC1" s="90"/>
      <c r="CD1" s="2"/>
      <c r="CE1" s="2"/>
      <c r="CF1" s="2"/>
      <c r="CG1" s="182"/>
      <c r="CH1" s="182"/>
      <c r="CI1" s="59"/>
      <c r="CJ1" s="2"/>
      <c r="CK1" s="2"/>
      <c r="CL1" s="2"/>
      <c r="CM1" s="182"/>
      <c r="CN1" s="3"/>
      <c r="CO1" s="3"/>
      <c r="CP1" s="2"/>
      <c r="CQ1" s="2"/>
      <c r="CR1" s="2"/>
      <c r="CS1" s="182"/>
      <c r="CT1" s="3"/>
      <c r="CV1" s="2"/>
      <c r="CW1" s="2"/>
      <c r="CX1" s="2"/>
      <c r="CY1" s="182"/>
    </row>
    <row r="2" spans="1:105" s="334" customFormat="1">
      <c r="A2" s="335"/>
      <c r="B2" s="336" t="s">
        <v>255</v>
      </c>
      <c r="C2" s="336"/>
      <c r="D2" s="337"/>
      <c r="E2" s="338"/>
      <c r="F2" s="338"/>
      <c r="G2" s="336"/>
      <c r="H2" s="336"/>
      <c r="I2" s="336"/>
      <c r="J2" s="336"/>
      <c r="K2" s="336"/>
      <c r="L2" s="336"/>
      <c r="M2" s="336"/>
      <c r="N2" s="336"/>
      <c r="O2" s="339"/>
      <c r="P2" s="339"/>
      <c r="Q2" s="336"/>
      <c r="R2" s="336"/>
      <c r="S2" s="336"/>
      <c r="T2" s="339"/>
      <c r="U2" s="339"/>
      <c r="V2" s="336"/>
      <c r="W2" s="336"/>
      <c r="X2" s="336"/>
      <c r="Y2" s="340"/>
      <c r="Z2" s="340"/>
      <c r="AA2" s="336"/>
      <c r="AB2" s="336"/>
      <c r="AC2" s="336"/>
      <c r="AD2" s="340"/>
      <c r="AE2" s="340"/>
      <c r="AF2" s="336"/>
      <c r="AG2" s="336"/>
      <c r="AH2" s="336"/>
      <c r="AI2" s="341"/>
      <c r="AJ2" s="341"/>
      <c r="AK2" s="336"/>
      <c r="AL2" s="336"/>
      <c r="AM2" s="336"/>
      <c r="AN2" s="341"/>
      <c r="AO2" s="341"/>
      <c r="AP2" s="336"/>
      <c r="AQ2" s="336"/>
      <c r="AR2" s="336"/>
      <c r="AS2" s="339"/>
      <c r="AT2" s="339"/>
      <c r="AU2" s="336"/>
      <c r="AV2" s="336"/>
      <c r="AW2" s="336"/>
      <c r="AX2" s="339"/>
      <c r="AY2" s="339"/>
      <c r="AZ2" s="336"/>
      <c r="BA2" s="336"/>
      <c r="BB2" s="336"/>
      <c r="BC2" s="339"/>
      <c r="BD2" s="339"/>
      <c r="BE2" s="336"/>
      <c r="BF2" s="336"/>
      <c r="BG2" s="336"/>
      <c r="BH2" s="339"/>
      <c r="BI2" s="342"/>
      <c r="BJ2" s="336"/>
      <c r="BK2" s="336"/>
      <c r="BL2" s="336"/>
      <c r="BM2" s="346"/>
      <c r="BN2" s="346"/>
      <c r="BO2" s="336"/>
      <c r="BP2" s="336"/>
      <c r="BQ2" s="336"/>
      <c r="BR2" s="346"/>
      <c r="BS2" s="346"/>
      <c r="BT2" s="336"/>
      <c r="BU2" s="336"/>
      <c r="BV2" s="336"/>
      <c r="BW2" s="346"/>
      <c r="BX2" s="347"/>
      <c r="BY2" s="336"/>
      <c r="BZ2" s="336"/>
      <c r="CA2" s="336"/>
      <c r="CB2" s="348"/>
      <c r="CC2" s="347"/>
      <c r="CD2" s="336"/>
      <c r="CE2" s="336"/>
      <c r="CF2" s="336"/>
      <c r="CG2" s="348"/>
      <c r="CH2" s="348"/>
      <c r="CI2" s="510"/>
      <c r="CJ2" s="336"/>
      <c r="CK2" s="336"/>
      <c r="CL2" s="336"/>
      <c r="CM2" s="348"/>
      <c r="CN2" s="511"/>
      <c r="CO2" s="333"/>
      <c r="CP2" s="336"/>
      <c r="CQ2" s="336"/>
      <c r="CR2" s="336"/>
      <c r="CS2" s="348"/>
      <c r="CT2" s="333"/>
      <c r="CV2" s="336"/>
      <c r="CW2" s="336"/>
      <c r="CX2" s="336"/>
      <c r="CY2" s="348"/>
    </row>
    <row r="3" spans="1:105" s="334" customFormat="1">
      <c r="A3" s="335"/>
      <c r="B3" s="336" t="s">
        <v>253</v>
      </c>
      <c r="C3" s="336"/>
      <c r="D3" s="337"/>
      <c r="E3" s="338"/>
      <c r="F3" s="338"/>
      <c r="G3" s="336"/>
      <c r="H3" s="336"/>
      <c r="I3" s="336"/>
      <c r="J3" s="336"/>
      <c r="K3" s="336"/>
      <c r="L3" s="336"/>
      <c r="M3" s="336"/>
      <c r="N3" s="336"/>
      <c r="O3" s="339"/>
      <c r="P3" s="339"/>
      <c r="Q3" s="336"/>
      <c r="R3" s="336"/>
      <c r="S3" s="336"/>
      <c r="T3" s="339"/>
      <c r="U3" s="339"/>
      <c r="V3" s="336"/>
      <c r="W3" s="336"/>
      <c r="X3" s="336"/>
      <c r="Y3" s="340"/>
      <c r="Z3" s="340"/>
      <c r="AA3" s="336"/>
      <c r="AB3" s="336"/>
      <c r="AC3" s="336"/>
      <c r="AD3" s="340"/>
      <c r="AE3" s="340"/>
      <c r="AF3" s="336"/>
      <c r="AG3" s="336"/>
      <c r="AH3" s="336"/>
      <c r="AI3" s="341"/>
      <c r="AJ3" s="341"/>
      <c r="AK3" s="336"/>
      <c r="AL3" s="336"/>
      <c r="AM3" s="336"/>
      <c r="AN3" s="341"/>
      <c r="AO3" s="341"/>
      <c r="AP3" s="336"/>
      <c r="AQ3" s="336"/>
      <c r="AR3" s="336"/>
      <c r="AS3" s="339"/>
      <c r="AT3" s="339"/>
      <c r="AU3" s="336"/>
      <c r="AV3" s="336"/>
      <c r="AW3" s="336"/>
      <c r="AX3" s="339"/>
      <c r="AY3" s="339"/>
      <c r="AZ3" s="336"/>
      <c r="BA3" s="336"/>
      <c r="BB3" s="336"/>
      <c r="BC3" s="339"/>
      <c r="BD3" s="339"/>
      <c r="BE3" s="336"/>
      <c r="BF3" s="336"/>
      <c r="BG3" s="336"/>
      <c r="BH3" s="339"/>
      <c r="BI3" s="342"/>
      <c r="BJ3" s="336"/>
      <c r="BK3" s="336"/>
      <c r="BL3" s="336"/>
      <c r="BM3" s="346"/>
      <c r="BN3" s="346"/>
      <c r="BO3" s="336"/>
      <c r="BP3" s="336"/>
      <c r="BQ3" s="336"/>
      <c r="BR3" s="346"/>
      <c r="BS3" s="346"/>
      <c r="BT3" s="336"/>
      <c r="BU3" s="336"/>
      <c r="BV3" s="336"/>
      <c r="BW3" s="346"/>
      <c r="BX3" s="347"/>
      <c r="BY3" s="336"/>
      <c r="BZ3" s="336"/>
      <c r="CA3" s="336"/>
      <c r="CB3" s="348"/>
      <c r="CC3" s="347"/>
      <c r="CD3" s="336"/>
      <c r="CE3" s="336"/>
      <c r="CF3" s="336"/>
      <c r="CG3" s="348"/>
      <c r="CH3" s="348"/>
      <c r="CI3" s="510"/>
      <c r="CJ3" s="336"/>
      <c r="CK3" s="336"/>
      <c r="CL3" s="336"/>
      <c r="CM3" s="348"/>
      <c r="CN3" s="511"/>
      <c r="CO3" s="333"/>
      <c r="CP3" s="336"/>
      <c r="CQ3" s="336"/>
      <c r="CR3" s="336"/>
      <c r="CS3" s="348"/>
      <c r="CT3" s="333"/>
      <c r="CV3" s="336"/>
      <c r="CW3" s="336"/>
      <c r="CX3" s="336"/>
      <c r="CY3" s="348"/>
    </row>
    <row r="4" spans="1:105" s="334" customFormat="1">
      <c r="A4" s="335"/>
      <c r="B4" s="1732" t="s">
        <v>256</v>
      </c>
      <c r="C4" s="1732"/>
      <c r="D4" s="1732"/>
      <c r="E4" s="1732"/>
      <c r="F4" s="1732"/>
      <c r="G4" s="1732"/>
      <c r="H4" s="1732"/>
      <c r="I4" s="1732"/>
      <c r="J4" s="1732"/>
      <c r="K4" s="1732"/>
      <c r="L4" s="1732"/>
      <c r="M4" s="1732"/>
      <c r="N4" s="1732"/>
      <c r="O4" s="1732"/>
      <c r="P4" s="1732"/>
      <c r="Q4" s="1732"/>
      <c r="R4" s="1732"/>
      <c r="S4" s="1732"/>
      <c r="T4" s="1732"/>
      <c r="U4" s="1732"/>
      <c r="V4" s="1732"/>
      <c r="W4" s="1732"/>
      <c r="X4" s="1732"/>
      <c r="Y4" s="1732"/>
      <c r="Z4" s="1732"/>
      <c r="AA4" s="1732"/>
      <c r="AB4" s="1732"/>
      <c r="AC4" s="1732"/>
      <c r="AD4" s="1732"/>
      <c r="AE4" s="1732"/>
      <c r="AF4" s="1732"/>
      <c r="AG4" s="1732"/>
      <c r="AH4" s="1732"/>
      <c r="AI4" s="1732"/>
      <c r="AJ4" s="1732"/>
      <c r="AK4" s="1732"/>
      <c r="AL4" s="1732"/>
      <c r="AM4" s="1732"/>
      <c r="AN4" s="1732"/>
      <c r="AO4" s="1732"/>
      <c r="AP4" s="1732"/>
      <c r="AQ4" s="1732"/>
      <c r="AR4" s="1732"/>
      <c r="AS4" s="1732"/>
      <c r="AT4" s="1732"/>
      <c r="AU4" s="1732"/>
      <c r="AV4" s="1732"/>
      <c r="AW4" s="1732"/>
      <c r="AX4" s="1732"/>
      <c r="AY4" s="1732"/>
      <c r="AZ4" s="1732"/>
      <c r="BA4" s="1732"/>
      <c r="BB4" s="1732"/>
      <c r="BC4" s="1732"/>
      <c r="BD4" s="1732"/>
      <c r="BE4" s="950"/>
      <c r="BF4" s="950"/>
      <c r="BG4" s="950"/>
      <c r="BH4" s="339"/>
      <c r="BI4" s="342"/>
      <c r="BJ4" s="342"/>
      <c r="BK4" s="342"/>
      <c r="BL4" s="342"/>
      <c r="BM4" s="346"/>
      <c r="BN4" s="346"/>
      <c r="BO4" s="342"/>
      <c r="BP4" s="342"/>
      <c r="BQ4" s="342"/>
      <c r="BR4" s="346"/>
      <c r="BS4" s="346"/>
      <c r="BT4" s="342"/>
      <c r="BU4" s="342"/>
      <c r="BV4" s="342"/>
      <c r="BW4" s="346"/>
      <c r="BX4" s="347"/>
      <c r="BY4" s="342"/>
      <c r="BZ4" s="342"/>
      <c r="CA4" s="342"/>
      <c r="CB4" s="348"/>
      <c r="CC4" s="347"/>
      <c r="CD4" s="342"/>
      <c r="CE4" s="342"/>
      <c r="CF4" s="342"/>
      <c r="CG4" s="348"/>
      <c r="CH4" s="348"/>
      <c r="CI4" s="510"/>
      <c r="CJ4" s="342"/>
      <c r="CK4" s="342"/>
      <c r="CL4" s="342"/>
      <c r="CM4" s="348"/>
      <c r="CN4" s="511"/>
      <c r="CO4" s="333"/>
      <c r="CP4" s="342"/>
      <c r="CQ4" s="342"/>
      <c r="CR4" s="342"/>
      <c r="CS4" s="348"/>
      <c r="CT4" s="333"/>
      <c r="CV4" s="342"/>
      <c r="CW4" s="342"/>
      <c r="CX4" s="342"/>
      <c r="CY4" s="348"/>
    </row>
    <row r="5" spans="1:105" s="334" customFormat="1" ht="27" customHeight="1">
      <c r="A5" s="335"/>
      <c r="B5" s="1732"/>
      <c r="C5" s="1732"/>
      <c r="D5" s="1732"/>
      <c r="E5" s="1732"/>
      <c r="F5" s="1732"/>
      <c r="G5" s="1732"/>
      <c r="H5" s="1732"/>
      <c r="I5" s="1732"/>
      <c r="J5" s="1732"/>
      <c r="K5" s="1732"/>
      <c r="L5" s="1732"/>
      <c r="M5" s="1732"/>
      <c r="N5" s="1732"/>
      <c r="O5" s="1732"/>
      <c r="P5" s="1732"/>
      <c r="Q5" s="1732"/>
      <c r="R5" s="1732"/>
      <c r="S5" s="1732"/>
      <c r="T5" s="1732"/>
      <c r="U5" s="1732"/>
      <c r="V5" s="1732"/>
      <c r="W5" s="1732"/>
      <c r="X5" s="1732"/>
      <c r="Y5" s="1732"/>
      <c r="Z5" s="1732"/>
      <c r="AA5" s="1732"/>
      <c r="AB5" s="1732"/>
      <c r="AC5" s="1732"/>
      <c r="AD5" s="1732"/>
      <c r="AE5" s="1732"/>
      <c r="AF5" s="1732"/>
      <c r="AG5" s="1732"/>
      <c r="AH5" s="1732"/>
      <c r="AI5" s="1732"/>
      <c r="AJ5" s="1732"/>
      <c r="AK5" s="1732"/>
      <c r="AL5" s="1732"/>
      <c r="AM5" s="1732"/>
      <c r="AN5" s="1732"/>
      <c r="AO5" s="1732"/>
      <c r="AP5" s="1732"/>
      <c r="AQ5" s="1732"/>
      <c r="AR5" s="1732"/>
      <c r="AS5" s="1732"/>
      <c r="AT5" s="1732"/>
      <c r="AU5" s="1732"/>
      <c r="AV5" s="1732"/>
      <c r="AW5" s="1732"/>
      <c r="AX5" s="1732"/>
      <c r="AY5" s="1732"/>
      <c r="AZ5" s="1732"/>
      <c r="BA5" s="1732"/>
      <c r="BB5" s="1732"/>
      <c r="BC5" s="1732"/>
      <c r="BD5" s="1732"/>
      <c r="BE5" s="950"/>
      <c r="BF5" s="950"/>
      <c r="BG5" s="950"/>
      <c r="BH5" s="339"/>
      <c r="BI5" s="342"/>
      <c r="BJ5" s="342"/>
      <c r="BK5" s="342"/>
      <c r="BL5" s="342"/>
      <c r="BM5" s="346"/>
      <c r="BN5" s="346"/>
      <c r="BO5" s="342"/>
      <c r="BP5" s="342"/>
      <c r="BQ5" s="342"/>
      <c r="BR5" s="346"/>
      <c r="BS5" s="346"/>
      <c r="BT5" s="342"/>
      <c r="BU5" s="342"/>
      <c r="BV5" s="342"/>
      <c r="BW5" s="346"/>
      <c r="BX5" s="347"/>
      <c r="BY5" s="342"/>
      <c r="BZ5" s="342"/>
      <c r="CA5" s="342"/>
      <c r="CB5" s="348"/>
      <c r="CC5" s="347"/>
      <c r="CD5" s="342"/>
      <c r="CE5" s="342"/>
      <c r="CF5" s="342"/>
      <c r="CG5" s="348"/>
      <c r="CH5" s="348"/>
      <c r="CI5" s="510"/>
      <c r="CJ5" s="342"/>
      <c r="CK5" s="342"/>
      <c r="CL5" s="342"/>
      <c r="CM5" s="348"/>
      <c r="CN5" s="511"/>
      <c r="CO5" s="333"/>
      <c r="CP5" s="342"/>
      <c r="CQ5" s="342"/>
      <c r="CR5" s="342"/>
      <c r="CS5" s="348"/>
      <c r="CT5" s="333"/>
      <c r="CV5" s="342"/>
      <c r="CW5" s="342"/>
      <c r="CX5" s="342"/>
      <c r="CY5" s="348"/>
    </row>
    <row r="6" spans="1:105" s="334" customFormat="1">
      <c r="A6" s="335"/>
      <c r="B6" s="336" t="s">
        <v>254</v>
      </c>
      <c r="C6" s="336"/>
      <c r="D6" s="337"/>
      <c r="E6" s="338"/>
      <c r="F6" s="338"/>
      <c r="G6" s="336"/>
      <c r="H6" s="336"/>
      <c r="I6" s="336"/>
      <c r="J6" s="336"/>
      <c r="K6" s="336"/>
      <c r="L6" s="336"/>
      <c r="M6" s="336"/>
      <c r="N6" s="336"/>
      <c r="O6" s="339"/>
      <c r="P6" s="339"/>
      <c r="Q6" s="336"/>
      <c r="R6" s="336"/>
      <c r="S6" s="336"/>
      <c r="T6" s="339"/>
      <c r="U6" s="339"/>
      <c r="V6" s="336"/>
      <c r="W6" s="336"/>
      <c r="X6" s="336"/>
      <c r="Y6" s="340"/>
      <c r="Z6" s="340"/>
      <c r="AA6" s="336"/>
      <c r="AB6" s="336"/>
      <c r="AC6" s="336"/>
      <c r="AD6" s="340"/>
      <c r="AE6" s="340"/>
      <c r="AF6" s="336"/>
      <c r="AG6" s="336"/>
      <c r="AH6" s="336"/>
      <c r="AI6" s="341"/>
      <c r="AJ6" s="341"/>
      <c r="AK6" s="336"/>
      <c r="AL6" s="336"/>
      <c r="AM6" s="336"/>
      <c r="AN6" s="341"/>
      <c r="AO6" s="341"/>
      <c r="AP6" s="336"/>
      <c r="AQ6" s="336"/>
      <c r="AR6" s="336"/>
      <c r="AS6" s="339"/>
      <c r="AT6" s="339"/>
      <c r="AU6" s="336"/>
      <c r="AV6" s="336"/>
      <c r="AW6" s="336"/>
      <c r="AX6" s="339"/>
      <c r="AY6" s="339"/>
      <c r="AZ6" s="336"/>
      <c r="BA6" s="336"/>
      <c r="BB6" s="336"/>
      <c r="BC6" s="339"/>
      <c r="BD6" s="339"/>
      <c r="BE6" s="336"/>
      <c r="BF6" s="336"/>
      <c r="BG6" s="336"/>
      <c r="BH6" s="339"/>
      <c r="BI6" s="342"/>
      <c r="BJ6" s="336"/>
      <c r="BK6" s="336"/>
      <c r="BL6" s="336"/>
      <c r="BM6" s="346"/>
      <c r="BN6" s="346"/>
      <c r="BO6" s="336"/>
      <c r="BP6" s="336"/>
      <c r="BQ6" s="336"/>
      <c r="BR6" s="346"/>
      <c r="BS6" s="346"/>
      <c r="BT6" s="336"/>
      <c r="BU6" s="336"/>
      <c r="BV6" s="336"/>
      <c r="BW6" s="346"/>
      <c r="BX6" s="347"/>
      <c r="BY6" s="336"/>
      <c r="BZ6" s="336"/>
      <c r="CA6" s="336"/>
      <c r="CB6" s="348"/>
      <c r="CC6" s="347"/>
      <c r="CD6" s="336"/>
      <c r="CE6" s="336"/>
      <c r="CF6" s="336"/>
      <c r="CG6" s="348"/>
      <c r="CH6" s="348"/>
      <c r="CI6" s="510"/>
      <c r="CJ6" s="336"/>
      <c r="CK6" s="336"/>
      <c r="CL6" s="336"/>
      <c r="CM6" s="348"/>
      <c r="CN6" s="511"/>
      <c r="CO6" s="333"/>
      <c r="CP6" s="336"/>
      <c r="CQ6" s="336"/>
      <c r="CR6" s="336"/>
      <c r="CS6" s="348"/>
      <c r="CT6" s="333"/>
      <c r="CV6" s="336"/>
      <c r="CW6" s="336"/>
      <c r="CX6" s="336"/>
      <c r="CY6" s="348"/>
    </row>
    <row r="7" spans="1:105" s="334" customFormat="1">
      <c r="A7" s="335"/>
      <c r="B7" s="1732" t="s">
        <v>415</v>
      </c>
      <c r="C7" s="1732"/>
      <c r="D7" s="1732"/>
      <c r="E7" s="1732"/>
      <c r="F7" s="1732"/>
      <c r="G7" s="1732"/>
      <c r="H7" s="1732"/>
      <c r="I7" s="1732"/>
      <c r="J7" s="1732"/>
      <c r="K7" s="1732"/>
      <c r="L7" s="1732"/>
      <c r="M7" s="1732"/>
      <c r="N7" s="1732"/>
      <c r="O7" s="1732"/>
      <c r="P7" s="1732"/>
      <c r="Q7" s="1732"/>
      <c r="R7" s="1732"/>
      <c r="S7" s="1732"/>
      <c r="T7" s="1732"/>
      <c r="U7" s="1732"/>
      <c r="V7" s="1732"/>
      <c r="W7" s="1732"/>
      <c r="X7" s="1732"/>
      <c r="Y7" s="1732"/>
      <c r="Z7" s="1732"/>
      <c r="AA7" s="1732"/>
      <c r="AB7" s="1732"/>
      <c r="AC7" s="1732"/>
      <c r="AD7" s="1732"/>
      <c r="AE7" s="1732"/>
      <c r="AF7" s="1732"/>
      <c r="AG7" s="1732"/>
      <c r="AH7" s="1732"/>
      <c r="AI7" s="1732"/>
      <c r="AJ7" s="1732"/>
      <c r="AK7" s="1732"/>
      <c r="AL7" s="1732"/>
      <c r="AM7" s="1732"/>
      <c r="AN7" s="1732"/>
      <c r="AO7" s="1732"/>
      <c r="AP7" s="1732"/>
      <c r="AQ7" s="1732"/>
      <c r="AR7" s="1732"/>
      <c r="AS7" s="1732"/>
      <c r="AT7" s="1732"/>
      <c r="AU7" s="1732"/>
      <c r="AV7" s="1732"/>
      <c r="AW7" s="1732"/>
      <c r="AX7" s="1732"/>
      <c r="AY7" s="1732"/>
      <c r="AZ7" s="1732"/>
      <c r="BA7" s="1732"/>
      <c r="BB7" s="1732"/>
      <c r="BC7" s="1732"/>
      <c r="BD7" s="1732"/>
      <c r="BE7" s="950"/>
      <c r="BF7" s="950"/>
      <c r="BG7" s="950"/>
      <c r="BH7" s="339"/>
      <c r="BI7" s="342"/>
      <c r="BJ7" s="342"/>
      <c r="BK7" s="342"/>
      <c r="BL7" s="342"/>
      <c r="BM7" s="346"/>
      <c r="BN7" s="346"/>
      <c r="BO7" s="342"/>
      <c r="BP7" s="342"/>
      <c r="BQ7" s="342"/>
      <c r="BR7" s="346"/>
      <c r="BS7" s="346"/>
      <c r="BT7" s="342"/>
      <c r="BU7" s="342"/>
      <c r="BV7" s="342"/>
      <c r="BW7" s="346"/>
      <c r="BX7" s="347"/>
      <c r="BY7" s="342"/>
      <c r="BZ7" s="342"/>
      <c r="CA7" s="342"/>
      <c r="CB7" s="348"/>
      <c r="CC7" s="347"/>
      <c r="CD7" s="342"/>
      <c r="CE7" s="342"/>
      <c r="CF7" s="342"/>
      <c r="CG7" s="348"/>
      <c r="CH7" s="348"/>
      <c r="CI7" s="510"/>
      <c r="CJ7" s="342"/>
      <c r="CK7" s="342"/>
      <c r="CL7" s="342"/>
      <c r="CM7" s="348"/>
      <c r="CN7" s="511"/>
      <c r="CO7" s="333"/>
      <c r="CP7" s="342"/>
      <c r="CQ7" s="342"/>
      <c r="CR7" s="342"/>
      <c r="CS7" s="348"/>
      <c r="CT7" s="333"/>
      <c r="CV7" s="342"/>
      <c r="CW7" s="342"/>
      <c r="CX7" s="342"/>
      <c r="CY7" s="348"/>
    </row>
    <row r="8" spans="1:105" s="334" customFormat="1" ht="35.25" customHeight="1">
      <c r="A8" s="335"/>
      <c r="B8" s="1732"/>
      <c r="C8" s="1732"/>
      <c r="D8" s="1732"/>
      <c r="E8" s="1732"/>
      <c r="F8" s="1732"/>
      <c r="G8" s="1732"/>
      <c r="H8" s="1732"/>
      <c r="I8" s="1732"/>
      <c r="J8" s="1732"/>
      <c r="K8" s="1732"/>
      <c r="L8" s="1732"/>
      <c r="M8" s="1732"/>
      <c r="N8" s="1732"/>
      <c r="O8" s="1732"/>
      <c r="P8" s="1732"/>
      <c r="Q8" s="1732"/>
      <c r="R8" s="1732"/>
      <c r="S8" s="1732"/>
      <c r="T8" s="1732"/>
      <c r="U8" s="1732"/>
      <c r="V8" s="1732"/>
      <c r="W8" s="1732"/>
      <c r="X8" s="1732"/>
      <c r="Y8" s="1732"/>
      <c r="Z8" s="1732"/>
      <c r="AA8" s="1732"/>
      <c r="AB8" s="1732"/>
      <c r="AC8" s="1732"/>
      <c r="AD8" s="1732"/>
      <c r="AE8" s="1732"/>
      <c r="AF8" s="1732"/>
      <c r="AG8" s="1732"/>
      <c r="AH8" s="1732"/>
      <c r="AI8" s="1732"/>
      <c r="AJ8" s="1732"/>
      <c r="AK8" s="1732"/>
      <c r="AL8" s="1732"/>
      <c r="AM8" s="1732"/>
      <c r="AN8" s="1732"/>
      <c r="AO8" s="1732"/>
      <c r="AP8" s="1732"/>
      <c r="AQ8" s="1732"/>
      <c r="AR8" s="1732"/>
      <c r="AS8" s="1732"/>
      <c r="AT8" s="1732"/>
      <c r="AU8" s="1732"/>
      <c r="AV8" s="1732"/>
      <c r="AW8" s="1732"/>
      <c r="AX8" s="1732"/>
      <c r="AY8" s="1732"/>
      <c r="AZ8" s="1732"/>
      <c r="BA8" s="1732"/>
      <c r="BB8" s="1732"/>
      <c r="BC8" s="1732"/>
      <c r="BD8" s="1732"/>
      <c r="BE8" s="950"/>
      <c r="BF8" s="950"/>
      <c r="BG8" s="950"/>
      <c r="BH8" s="339"/>
      <c r="BI8" s="342"/>
      <c r="BJ8" s="342"/>
      <c r="BK8" s="342"/>
      <c r="BL8" s="342"/>
      <c r="BM8" s="346"/>
      <c r="BN8" s="346"/>
      <c r="BO8" s="342"/>
      <c r="BP8" s="342"/>
      <c r="BQ8" s="342"/>
      <c r="BR8" s="346"/>
      <c r="BS8" s="346"/>
      <c r="BT8" s="342"/>
      <c r="BU8" s="342"/>
      <c r="BV8" s="342"/>
      <c r="BW8" s="346"/>
      <c r="BX8" s="347"/>
      <c r="BY8" s="342"/>
      <c r="BZ8" s="342"/>
      <c r="CA8" s="342"/>
      <c r="CB8" s="348"/>
      <c r="CC8" s="347"/>
      <c r="CD8" s="342"/>
      <c r="CE8" s="342"/>
      <c r="CF8" s="342"/>
      <c r="CG8" s="348"/>
      <c r="CH8" s="348"/>
      <c r="CI8" s="510"/>
      <c r="CJ8" s="342"/>
      <c r="CK8" s="342"/>
      <c r="CL8" s="342"/>
      <c r="CM8" s="348"/>
      <c r="CN8" s="511"/>
      <c r="CO8" s="333"/>
      <c r="CP8" s="342"/>
      <c r="CQ8" s="342"/>
      <c r="CR8" s="342"/>
      <c r="CS8" s="348"/>
      <c r="CT8" s="333"/>
      <c r="CV8" s="342"/>
      <c r="CW8" s="342"/>
      <c r="CX8" s="342"/>
      <c r="CY8" s="348"/>
    </row>
    <row r="9" spans="1:105" ht="12.75" customHeight="1" thickBot="1">
      <c r="A9" s="13"/>
      <c r="B9" s="2"/>
      <c r="C9" s="2"/>
      <c r="D9" s="104"/>
      <c r="F9" s="4"/>
      <c r="G9" s="2"/>
      <c r="H9" s="2"/>
      <c r="I9" s="2"/>
      <c r="J9" s="2"/>
      <c r="K9" s="2"/>
      <c r="L9" s="2"/>
      <c r="M9" s="2"/>
      <c r="N9" s="2"/>
      <c r="O9" s="60"/>
      <c r="P9" s="60"/>
      <c r="Q9" s="2"/>
      <c r="R9" s="2"/>
      <c r="S9" s="2"/>
      <c r="T9" s="60"/>
      <c r="U9" s="60"/>
      <c r="V9" s="2"/>
      <c r="W9" s="2"/>
      <c r="X9" s="2"/>
      <c r="Y9" s="58"/>
      <c r="Z9" s="58"/>
      <c r="AA9" s="2"/>
      <c r="AB9" s="2"/>
      <c r="AC9" s="2"/>
      <c r="AD9" s="58"/>
      <c r="AE9" s="58"/>
      <c r="AF9" s="2"/>
      <c r="AG9" s="2"/>
      <c r="AH9" s="2"/>
      <c r="AI9" s="59"/>
      <c r="AJ9" s="59"/>
      <c r="AK9" s="2"/>
      <c r="AL9" s="2"/>
      <c r="AM9" s="2"/>
      <c r="AN9" s="59"/>
      <c r="AO9" s="59"/>
      <c r="AP9" s="2"/>
      <c r="AQ9" s="2"/>
      <c r="AR9" s="2"/>
      <c r="AS9" s="60"/>
      <c r="AT9" s="60"/>
      <c r="AU9" s="2"/>
      <c r="AV9" s="2"/>
      <c r="AW9" s="2"/>
      <c r="AX9" s="60"/>
      <c r="AY9" s="60"/>
      <c r="AZ9" s="2"/>
      <c r="BA9" s="2"/>
      <c r="BB9" s="2"/>
      <c r="BC9" s="60"/>
      <c r="BD9" s="60"/>
      <c r="BE9" s="2"/>
      <c r="BF9" s="2"/>
      <c r="BG9" s="2"/>
      <c r="BH9" s="60"/>
      <c r="BI9" s="102"/>
      <c r="BJ9" s="2"/>
      <c r="BK9" s="2"/>
      <c r="BL9" s="2"/>
      <c r="BM9" s="102"/>
      <c r="BN9" s="102"/>
      <c r="BO9" s="2"/>
      <c r="BP9" s="2"/>
      <c r="BQ9" s="2"/>
      <c r="BR9" s="102"/>
      <c r="BS9" s="102"/>
      <c r="BT9" s="2"/>
      <c r="BU9" s="2"/>
      <c r="BV9" s="2"/>
      <c r="BW9" s="102"/>
      <c r="BX9" s="102"/>
      <c r="BY9" s="2"/>
      <c r="BZ9" s="2"/>
      <c r="CA9" s="2"/>
      <c r="CB9" s="102"/>
      <c r="CC9" s="182"/>
      <c r="CD9" s="2"/>
      <c r="CE9" s="2"/>
      <c r="CF9" s="2"/>
      <c r="CG9" s="102"/>
      <c r="CH9" s="90"/>
      <c r="CI9" s="182"/>
      <c r="CJ9" s="2"/>
      <c r="CK9" s="2"/>
      <c r="CL9" s="2"/>
      <c r="CM9" s="102"/>
      <c r="CN9" s="90"/>
      <c r="CO9" s="182"/>
      <c r="CP9" s="2"/>
      <c r="CQ9" s="2"/>
      <c r="CR9" s="2"/>
      <c r="CS9" s="102"/>
      <c r="CT9" s="59"/>
      <c r="CU9" s="3"/>
      <c r="CV9" s="2"/>
      <c r="CW9" s="2"/>
      <c r="CX9" s="2"/>
      <c r="CY9" s="102"/>
      <c r="CZ9" s="3"/>
      <c r="DA9" s="3"/>
    </row>
    <row r="10" spans="1:105" ht="15.75" customHeight="1">
      <c r="A10" s="221"/>
      <c r="B10" s="222" t="s">
        <v>1140</v>
      </c>
      <c r="C10" s="223"/>
      <c r="D10" s="223"/>
      <c r="E10" s="224"/>
      <c r="F10" s="241"/>
      <c r="G10" s="223"/>
      <c r="H10" s="1733" t="s">
        <v>251</v>
      </c>
      <c r="I10" s="1734"/>
      <c r="J10" s="1734"/>
      <c r="K10" s="1734"/>
      <c r="L10" s="1734"/>
      <c r="M10" s="1734"/>
      <c r="N10" s="1734"/>
      <c r="O10" s="1734"/>
      <c r="P10" s="1734"/>
      <c r="Q10" s="1734"/>
      <c r="R10" s="1734"/>
      <c r="S10" s="1734"/>
      <c r="T10" s="1734"/>
      <c r="U10" s="1735"/>
      <c r="V10" s="958"/>
      <c r="W10" s="958"/>
      <c r="X10" s="958"/>
      <c r="Y10" s="1736" t="s">
        <v>354</v>
      </c>
      <c r="Z10" s="1737"/>
      <c r="AA10" s="1804"/>
      <c r="AB10" s="1804"/>
      <c r="AC10" s="1804"/>
      <c r="AD10" s="1737"/>
      <c r="AE10" s="1737"/>
      <c r="AF10" s="1804"/>
      <c r="AG10" s="1804"/>
      <c r="AH10" s="1804"/>
      <c r="AI10" s="1738"/>
      <c r="AJ10" s="1742" t="s">
        <v>352</v>
      </c>
      <c r="AK10" s="1802"/>
      <c r="AL10" s="1802"/>
      <c r="AM10" s="1802"/>
      <c r="AN10" s="1743"/>
      <c r="AO10" s="1743"/>
      <c r="AP10" s="1802"/>
      <c r="AQ10" s="1802"/>
      <c r="AR10" s="1802"/>
      <c r="AS10" s="1743"/>
      <c r="AT10" s="1743"/>
      <c r="AU10" s="1802"/>
      <c r="AV10" s="1802"/>
      <c r="AW10" s="1802"/>
      <c r="AX10" s="1743"/>
      <c r="AY10" s="1743"/>
      <c r="AZ10" s="1802"/>
      <c r="BA10" s="1802"/>
      <c r="BB10" s="1802"/>
      <c r="BC10" s="1743"/>
      <c r="BD10" s="1744"/>
      <c r="BE10" s="956"/>
      <c r="BF10" s="956"/>
      <c r="BG10" s="956"/>
      <c r="BH10" s="1786" t="s">
        <v>250</v>
      </c>
      <c r="BI10" s="1787"/>
      <c r="BJ10" s="1788"/>
      <c r="BK10" s="1788"/>
      <c r="BL10" s="1788"/>
      <c r="BM10" s="1787"/>
      <c r="BN10" s="1787"/>
      <c r="BO10" s="1788"/>
      <c r="BP10" s="1788"/>
      <c r="BQ10" s="1788"/>
      <c r="BR10" s="1787"/>
      <c r="BS10" s="1788"/>
      <c r="BT10" s="1788"/>
      <c r="BU10" s="1788"/>
      <c r="BV10" s="1788"/>
      <c r="BW10" s="1788"/>
      <c r="BX10" s="1787"/>
      <c r="BY10" s="1788"/>
      <c r="BZ10" s="1788"/>
      <c r="CA10" s="1788"/>
      <c r="CB10" s="1787"/>
      <c r="CC10" s="1787"/>
      <c r="CD10" s="1788"/>
      <c r="CE10" s="1788"/>
      <c r="CF10" s="1788"/>
      <c r="CG10" s="1788"/>
      <c r="CH10" s="1787"/>
      <c r="CI10" s="1787"/>
      <c r="CJ10" s="1788"/>
      <c r="CK10" s="1788"/>
      <c r="CL10" s="1788"/>
      <c r="CM10" s="1788"/>
      <c r="CN10" s="1789"/>
      <c r="CO10" s="89"/>
      <c r="CP10" s="89"/>
      <c r="CQ10" s="89"/>
      <c r="CR10" s="89"/>
      <c r="CS10" s="89"/>
      <c r="CT10" s="3"/>
      <c r="CU10" s="3"/>
      <c r="CV10" s="89"/>
      <c r="CW10" s="89"/>
      <c r="CX10" s="89"/>
      <c r="CY10" s="89"/>
      <c r="CZ10" s="3"/>
    </row>
    <row r="11" spans="1:105" ht="18" customHeight="1" thickBot="1">
      <c r="A11" s="221"/>
      <c r="B11" s="228" t="s">
        <v>226</v>
      </c>
      <c r="C11" s="229"/>
      <c r="D11" s="230" t="s">
        <v>227</v>
      </c>
      <c r="E11" s="225">
        <v>7</v>
      </c>
      <c r="F11" s="230" t="s">
        <v>229</v>
      </c>
      <c r="G11" s="343">
        <v>3</v>
      </c>
      <c r="H11" s="323" t="s">
        <v>23</v>
      </c>
      <c r="I11" s="1757" t="s">
        <v>29</v>
      </c>
      <c r="J11" s="1758"/>
      <c r="K11" s="1759"/>
      <c r="L11" s="947"/>
      <c r="M11" s="947"/>
      <c r="N11" s="947"/>
      <c r="O11" s="1757" t="s">
        <v>14</v>
      </c>
      <c r="P11" s="1759"/>
      <c r="Q11" s="947"/>
      <c r="R11" s="947"/>
      <c r="S11" s="947"/>
      <c r="T11" s="1757" t="s">
        <v>11</v>
      </c>
      <c r="U11" s="1760"/>
      <c r="V11" s="947"/>
      <c r="W11" s="947"/>
      <c r="X11" s="947"/>
      <c r="Y11" s="1739"/>
      <c r="Z11" s="1740"/>
      <c r="AA11" s="1740"/>
      <c r="AB11" s="1740"/>
      <c r="AC11" s="1740"/>
      <c r="AD11" s="1740"/>
      <c r="AE11" s="1740"/>
      <c r="AF11" s="1740"/>
      <c r="AG11" s="1740"/>
      <c r="AH11" s="1740"/>
      <c r="AI11" s="1741"/>
      <c r="AJ11" s="1745"/>
      <c r="AK11" s="1746"/>
      <c r="AL11" s="1746"/>
      <c r="AM11" s="1746"/>
      <c r="AN11" s="1746"/>
      <c r="AO11" s="1746"/>
      <c r="AP11" s="1746"/>
      <c r="AQ11" s="1746"/>
      <c r="AR11" s="1746"/>
      <c r="AS11" s="1746"/>
      <c r="AT11" s="1746"/>
      <c r="AU11" s="1746"/>
      <c r="AV11" s="1746"/>
      <c r="AW11" s="1746"/>
      <c r="AX11" s="1746"/>
      <c r="AY11" s="1746"/>
      <c r="AZ11" s="1746"/>
      <c r="BA11" s="1746"/>
      <c r="BB11" s="1746"/>
      <c r="BC11" s="1746"/>
      <c r="BD11" s="1747"/>
      <c r="BE11" s="961"/>
      <c r="BF11" s="961"/>
      <c r="BG11" s="961"/>
      <c r="BH11" s="1790"/>
      <c r="BI11" s="1791"/>
      <c r="BJ11" s="1791"/>
      <c r="BK11" s="1791"/>
      <c r="BL11" s="1791"/>
      <c r="BM11" s="1791"/>
      <c r="BN11" s="1791"/>
      <c r="BO11" s="1791"/>
      <c r="BP11" s="1791"/>
      <c r="BQ11" s="1791"/>
      <c r="BR11" s="1791"/>
      <c r="BS11" s="1791"/>
      <c r="BT11" s="1791"/>
      <c r="BU11" s="1791"/>
      <c r="BV11" s="1791"/>
      <c r="BW11" s="1791"/>
      <c r="BX11" s="1791"/>
      <c r="BY11" s="1791"/>
      <c r="BZ11" s="1791"/>
      <c r="CA11" s="1791"/>
      <c r="CB11" s="1791"/>
      <c r="CC11" s="1791"/>
      <c r="CD11" s="1791"/>
      <c r="CE11" s="1791"/>
      <c r="CF11" s="1791"/>
      <c r="CG11" s="1791"/>
      <c r="CH11" s="1791"/>
      <c r="CI11" s="1791"/>
      <c r="CJ11" s="1791"/>
      <c r="CK11" s="1791"/>
      <c r="CL11" s="1791"/>
      <c r="CM11" s="1791"/>
      <c r="CN11" s="1792"/>
      <c r="CO11" s="219"/>
      <c r="CP11" s="219"/>
      <c r="CQ11" s="219"/>
      <c r="CR11" s="219"/>
      <c r="CS11" s="219"/>
      <c r="CT11" s="3"/>
      <c r="CU11" s="3"/>
      <c r="CV11" s="219"/>
      <c r="CW11" s="219"/>
      <c r="CX11" s="219"/>
      <c r="CY11" s="219"/>
      <c r="CZ11" s="3"/>
    </row>
    <row r="12" spans="1:105" ht="18" customHeight="1">
      <c r="A12" s="221"/>
      <c r="B12" s="223"/>
      <c r="C12" s="229"/>
      <c r="D12" s="230" t="s">
        <v>228</v>
      </c>
      <c r="E12" s="225">
        <v>7</v>
      </c>
      <c r="F12" s="230" t="s">
        <v>12</v>
      </c>
      <c r="G12" s="343">
        <v>2</v>
      </c>
      <c r="H12" s="323" t="s">
        <v>25</v>
      </c>
      <c r="I12" s="1757" t="s">
        <v>1</v>
      </c>
      <c r="J12" s="1758"/>
      <c r="K12" s="1759"/>
      <c r="L12" s="947"/>
      <c r="M12" s="947"/>
      <c r="N12" s="947"/>
      <c r="O12" s="1757" t="s">
        <v>35</v>
      </c>
      <c r="P12" s="1759"/>
      <c r="Q12" s="947"/>
      <c r="R12" s="947"/>
      <c r="S12" s="947"/>
      <c r="T12" s="1757" t="s">
        <v>15</v>
      </c>
      <c r="U12" s="1760"/>
      <c r="V12" s="947"/>
      <c r="W12" s="947"/>
      <c r="X12" s="947"/>
      <c r="Y12" s="1736" t="s">
        <v>353</v>
      </c>
      <c r="Z12" s="1737"/>
      <c r="AA12" s="1804"/>
      <c r="AB12" s="1804"/>
      <c r="AC12" s="1804"/>
      <c r="AD12" s="1737"/>
      <c r="AE12" s="1737"/>
      <c r="AF12" s="1804"/>
      <c r="AG12" s="1804"/>
      <c r="AH12" s="1804"/>
      <c r="AI12" s="1738"/>
      <c r="AJ12" s="1742" t="s">
        <v>359</v>
      </c>
      <c r="AK12" s="1802"/>
      <c r="AL12" s="1802"/>
      <c r="AM12" s="1802"/>
      <c r="AN12" s="1743"/>
      <c r="AO12" s="1743"/>
      <c r="AP12" s="1802"/>
      <c r="AQ12" s="1802"/>
      <c r="AR12" s="1802"/>
      <c r="AS12" s="1743"/>
      <c r="AT12" s="1743"/>
      <c r="AU12" s="1802"/>
      <c r="AV12" s="1802"/>
      <c r="AW12" s="1802"/>
      <c r="AX12" s="1743"/>
      <c r="AY12" s="1743"/>
      <c r="AZ12" s="1802"/>
      <c r="BA12" s="1802"/>
      <c r="BB12" s="1802"/>
      <c r="BC12" s="1743"/>
      <c r="BD12" s="1744"/>
      <c r="BE12" s="961"/>
      <c r="BF12" s="961"/>
      <c r="BG12" s="961"/>
      <c r="BH12" s="1790"/>
      <c r="BI12" s="1791"/>
      <c r="BJ12" s="1791"/>
      <c r="BK12" s="1791"/>
      <c r="BL12" s="1791"/>
      <c r="BM12" s="1791"/>
      <c r="BN12" s="1791"/>
      <c r="BO12" s="1791"/>
      <c r="BP12" s="1791"/>
      <c r="BQ12" s="1791"/>
      <c r="BR12" s="1791"/>
      <c r="BS12" s="1791"/>
      <c r="BT12" s="1791"/>
      <c r="BU12" s="1791"/>
      <c r="BV12" s="1791"/>
      <c r="BW12" s="1791"/>
      <c r="BX12" s="1791"/>
      <c r="BY12" s="1791"/>
      <c r="BZ12" s="1791"/>
      <c r="CA12" s="1791"/>
      <c r="CB12" s="1791"/>
      <c r="CC12" s="1791"/>
      <c r="CD12" s="1791"/>
      <c r="CE12" s="1791"/>
      <c r="CF12" s="1791"/>
      <c r="CG12" s="1791"/>
      <c r="CH12" s="1791"/>
      <c r="CI12" s="1791"/>
      <c r="CJ12" s="1791"/>
      <c r="CK12" s="1791"/>
      <c r="CL12" s="1791"/>
      <c r="CM12" s="1791"/>
      <c r="CN12" s="1792"/>
      <c r="CO12" s="89"/>
      <c r="CP12" s="89"/>
      <c r="CQ12" s="89"/>
      <c r="CR12" s="89"/>
      <c r="CS12" s="89"/>
      <c r="CT12" s="3"/>
      <c r="CU12" s="3"/>
      <c r="CV12" s="89"/>
      <c r="CW12" s="89"/>
      <c r="CX12" s="89"/>
      <c r="CY12" s="89"/>
      <c r="CZ12" s="3"/>
    </row>
    <row r="13" spans="1:105" ht="18" customHeight="1" thickBot="1">
      <c r="A13" s="221"/>
      <c r="B13" s="242"/>
      <c r="C13" s="221" t="s">
        <v>240</v>
      </c>
      <c r="D13" s="296" t="s">
        <v>242</v>
      </c>
      <c r="E13" s="344">
        <v>18</v>
      </c>
      <c r="F13" s="296" t="s">
        <v>243</v>
      </c>
      <c r="G13" s="227"/>
      <c r="H13" s="345" t="s">
        <v>27</v>
      </c>
      <c r="I13" s="1761" t="s">
        <v>13</v>
      </c>
      <c r="J13" s="1762"/>
      <c r="K13" s="1763"/>
      <c r="L13" s="949"/>
      <c r="M13" s="949"/>
      <c r="N13" s="949"/>
      <c r="O13" s="1761" t="s">
        <v>10</v>
      </c>
      <c r="P13" s="1763"/>
      <c r="Q13" s="949"/>
      <c r="R13" s="949"/>
      <c r="S13" s="949"/>
      <c r="T13" s="1761"/>
      <c r="U13" s="1764"/>
      <c r="V13" s="949"/>
      <c r="W13" s="949"/>
      <c r="X13" s="949"/>
      <c r="Y13" s="1739"/>
      <c r="Z13" s="1740"/>
      <c r="AA13" s="1740"/>
      <c r="AB13" s="1740"/>
      <c r="AC13" s="1740"/>
      <c r="AD13" s="1740"/>
      <c r="AE13" s="1740"/>
      <c r="AF13" s="1740"/>
      <c r="AG13" s="1740"/>
      <c r="AH13" s="1740"/>
      <c r="AI13" s="1741"/>
      <c r="AJ13" s="1745"/>
      <c r="AK13" s="1746"/>
      <c r="AL13" s="1746"/>
      <c r="AM13" s="1746"/>
      <c r="AN13" s="1746"/>
      <c r="AO13" s="1746"/>
      <c r="AP13" s="1746"/>
      <c r="AQ13" s="1746"/>
      <c r="AR13" s="1746"/>
      <c r="AS13" s="1746"/>
      <c r="AT13" s="1746"/>
      <c r="AU13" s="1746"/>
      <c r="AV13" s="1746"/>
      <c r="AW13" s="1746"/>
      <c r="AX13" s="1746"/>
      <c r="AY13" s="1746"/>
      <c r="AZ13" s="1746"/>
      <c r="BA13" s="1746"/>
      <c r="BB13" s="1746"/>
      <c r="BC13" s="1746"/>
      <c r="BD13" s="1747"/>
      <c r="BE13" s="948"/>
      <c r="BF13" s="948"/>
      <c r="BG13" s="948"/>
      <c r="BH13" s="1793"/>
      <c r="BI13" s="1794"/>
      <c r="BJ13" s="1794"/>
      <c r="BK13" s="1794"/>
      <c r="BL13" s="1794"/>
      <c r="BM13" s="1794"/>
      <c r="BN13" s="1794"/>
      <c r="BO13" s="1794"/>
      <c r="BP13" s="1794"/>
      <c r="BQ13" s="1794"/>
      <c r="BR13" s="1794"/>
      <c r="BS13" s="1794"/>
      <c r="BT13" s="1794"/>
      <c r="BU13" s="1794"/>
      <c r="BV13" s="1794"/>
      <c r="BW13" s="1794"/>
      <c r="BX13" s="1794"/>
      <c r="BY13" s="1794"/>
      <c r="BZ13" s="1794"/>
      <c r="CA13" s="1794"/>
      <c r="CB13" s="1794"/>
      <c r="CC13" s="1794"/>
      <c r="CD13" s="1794"/>
      <c r="CE13" s="1794"/>
      <c r="CF13" s="1794"/>
      <c r="CG13" s="1794"/>
      <c r="CH13" s="1794"/>
      <c r="CI13" s="1794"/>
      <c r="CJ13" s="1794"/>
      <c r="CK13" s="1794"/>
      <c r="CL13" s="1794"/>
      <c r="CM13" s="1794"/>
      <c r="CN13" s="1795"/>
      <c r="CO13" s="59"/>
      <c r="CP13" s="59"/>
      <c r="CQ13" s="59"/>
      <c r="CR13" s="59"/>
      <c r="CS13" s="59"/>
      <c r="CT13" s="3"/>
      <c r="CU13" s="3"/>
      <c r="CV13" s="59"/>
      <c r="CW13" s="59"/>
      <c r="CX13" s="59"/>
      <c r="CY13" s="59"/>
      <c r="CZ13" s="3"/>
    </row>
    <row r="14" spans="1:105" ht="15.75" customHeight="1">
      <c r="A14" s="221"/>
      <c r="B14" s="222" t="s">
        <v>1141</v>
      </c>
      <c r="C14" s="223"/>
      <c r="D14" s="223"/>
      <c r="E14" s="224"/>
      <c r="F14" s="241"/>
      <c r="G14" s="223"/>
      <c r="H14" s="1733" t="s">
        <v>251</v>
      </c>
      <c r="I14" s="1734"/>
      <c r="J14" s="1734"/>
      <c r="K14" s="1734"/>
      <c r="L14" s="1734"/>
      <c r="M14" s="1734"/>
      <c r="N14" s="1734"/>
      <c r="O14" s="1734"/>
      <c r="P14" s="1734"/>
      <c r="Q14" s="1734"/>
      <c r="R14" s="1734"/>
      <c r="S14" s="1734"/>
      <c r="T14" s="1734"/>
      <c r="U14" s="1735"/>
      <c r="V14" s="958"/>
      <c r="W14" s="958"/>
      <c r="X14" s="958"/>
      <c r="Y14" s="1736" t="s">
        <v>354</v>
      </c>
      <c r="Z14" s="1737"/>
      <c r="AA14" s="1804"/>
      <c r="AB14" s="1804"/>
      <c r="AC14" s="1804"/>
      <c r="AD14" s="1737"/>
      <c r="AE14" s="1737"/>
      <c r="AF14" s="1804"/>
      <c r="AG14" s="1804"/>
      <c r="AH14" s="1804"/>
      <c r="AI14" s="1738"/>
      <c r="AJ14" s="1742" t="s">
        <v>352</v>
      </c>
      <c r="AK14" s="1802"/>
      <c r="AL14" s="1802"/>
      <c r="AM14" s="1802"/>
      <c r="AN14" s="1743"/>
      <c r="AO14" s="1743"/>
      <c r="AP14" s="1802"/>
      <c r="AQ14" s="1802"/>
      <c r="AR14" s="1802"/>
      <c r="AS14" s="1743"/>
      <c r="AT14" s="1743"/>
      <c r="AU14" s="1802"/>
      <c r="AV14" s="1802"/>
      <c r="AW14" s="1802"/>
      <c r="AX14" s="1743"/>
      <c r="AY14" s="1743"/>
      <c r="AZ14" s="1802"/>
      <c r="BA14" s="1802"/>
      <c r="BB14" s="1802"/>
      <c r="BC14" s="1743"/>
      <c r="BD14" s="1744"/>
      <c r="BE14" s="956"/>
      <c r="BF14" s="956"/>
      <c r="BG14" s="956"/>
      <c r="BH14" s="1786" t="s">
        <v>250</v>
      </c>
      <c r="BI14" s="1787"/>
      <c r="BJ14" s="1788"/>
      <c r="BK14" s="1788"/>
      <c r="BL14" s="1788"/>
      <c r="BM14" s="1787"/>
      <c r="BN14" s="1787"/>
      <c r="BO14" s="1788"/>
      <c r="BP14" s="1788"/>
      <c r="BQ14" s="1788"/>
      <c r="BR14" s="1787"/>
      <c r="BS14" s="1788"/>
      <c r="BT14" s="1788"/>
      <c r="BU14" s="1788"/>
      <c r="BV14" s="1788"/>
      <c r="BW14" s="1788"/>
      <c r="BX14" s="1787"/>
      <c r="BY14" s="1788"/>
      <c r="BZ14" s="1788"/>
      <c r="CA14" s="1788"/>
      <c r="CB14" s="1787"/>
      <c r="CC14" s="1787"/>
      <c r="CD14" s="1788"/>
      <c r="CE14" s="1788"/>
      <c r="CF14" s="1788"/>
      <c r="CG14" s="1788"/>
      <c r="CH14" s="1787"/>
      <c r="CI14" s="1787"/>
      <c r="CJ14" s="1788"/>
      <c r="CK14" s="1788"/>
      <c r="CL14" s="1788"/>
      <c r="CM14" s="1788"/>
      <c r="CN14" s="1789"/>
      <c r="CO14" s="89"/>
      <c r="CP14" s="89"/>
      <c r="CQ14" s="89"/>
      <c r="CR14" s="89"/>
      <c r="CS14" s="89"/>
      <c r="CT14" s="3"/>
      <c r="CU14" s="3"/>
      <c r="CV14" s="89"/>
      <c r="CW14" s="89"/>
      <c r="CX14" s="89"/>
      <c r="CY14" s="89"/>
      <c r="CZ14" s="3"/>
    </row>
    <row r="15" spans="1:105" ht="18" customHeight="1" thickBot="1">
      <c r="A15" s="221"/>
      <c r="B15" s="228" t="s">
        <v>226</v>
      </c>
      <c r="C15" s="229"/>
      <c r="D15" s="230" t="s">
        <v>227</v>
      </c>
      <c r="E15" s="225">
        <v>7</v>
      </c>
      <c r="F15" s="230" t="s">
        <v>229</v>
      </c>
      <c r="G15" s="343">
        <v>3</v>
      </c>
      <c r="H15" s="323" t="s">
        <v>23</v>
      </c>
      <c r="I15" s="1757" t="s">
        <v>29</v>
      </c>
      <c r="J15" s="1758"/>
      <c r="K15" s="1759"/>
      <c r="L15" s="947"/>
      <c r="M15" s="947"/>
      <c r="N15" s="947"/>
      <c r="O15" s="1757" t="s">
        <v>14</v>
      </c>
      <c r="P15" s="1759"/>
      <c r="Q15" s="947"/>
      <c r="R15" s="947"/>
      <c r="S15" s="947"/>
      <c r="T15" s="1757" t="s">
        <v>11</v>
      </c>
      <c r="U15" s="1760"/>
      <c r="V15" s="947"/>
      <c r="W15" s="947"/>
      <c r="X15" s="947"/>
      <c r="Y15" s="1739"/>
      <c r="Z15" s="1740"/>
      <c r="AA15" s="1740"/>
      <c r="AB15" s="1740"/>
      <c r="AC15" s="1740"/>
      <c r="AD15" s="1740"/>
      <c r="AE15" s="1740"/>
      <c r="AF15" s="1740"/>
      <c r="AG15" s="1740"/>
      <c r="AH15" s="1740"/>
      <c r="AI15" s="1741"/>
      <c r="AJ15" s="1745"/>
      <c r="AK15" s="1746"/>
      <c r="AL15" s="1746"/>
      <c r="AM15" s="1746"/>
      <c r="AN15" s="1746"/>
      <c r="AO15" s="1746"/>
      <c r="AP15" s="1746"/>
      <c r="AQ15" s="1746"/>
      <c r="AR15" s="1746"/>
      <c r="AS15" s="1746"/>
      <c r="AT15" s="1746"/>
      <c r="AU15" s="1746"/>
      <c r="AV15" s="1746"/>
      <c r="AW15" s="1746"/>
      <c r="AX15" s="1746"/>
      <c r="AY15" s="1746"/>
      <c r="AZ15" s="1746"/>
      <c r="BA15" s="1746"/>
      <c r="BB15" s="1746"/>
      <c r="BC15" s="1746"/>
      <c r="BD15" s="1747"/>
      <c r="BE15" s="961"/>
      <c r="BF15" s="961"/>
      <c r="BG15" s="961"/>
      <c r="BH15" s="1790"/>
      <c r="BI15" s="1791"/>
      <c r="BJ15" s="1791"/>
      <c r="BK15" s="1791"/>
      <c r="BL15" s="1791"/>
      <c r="BM15" s="1791"/>
      <c r="BN15" s="1791"/>
      <c r="BO15" s="1791"/>
      <c r="BP15" s="1791"/>
      <c r="BQ15" s="1791"/>
      <c r="BR15" s="1791"/>
      <c r="BS15" s="1791"/>
      <c r="BT15" s="1791"/>
      <c r="BU15" s="1791"/>
      <c r="BV15" s="1791"/>
      <c r="BW15" s="1791"/>
      <c r="BX15" s="1791"/>
      <c r="BY15" s="1791"/>
      <c r="BZ15" s="1791"/>
      <c r="CA15" s="1791"/>
      <c r="CB15" s="1791"/>
      <c r="CC15" s="1791"/>
      <c r="CD15" s="1791"/>
      <c r="CE15" s="1791"/>
      <c r="CF15" s="1791"/>
      <c r="CG15" s="1791"/>
      <c r="CH15" s="1791"/>
      <c r="CI15" s="1791"/>
      <c r="CJ15" s="1791"/>
      <c r="CK15" s="1791"/>
      <c r="CL15" s="1791"/>
      <c r="CM15" s="1791"/>
      <c r="CN15" s="1792"/>
      <c r="CO15" s="219"/>
      <c r="CP15" s="219"/>
      <c r="CQ15" s="219"/>
      <c r="CR15" s="219"/>
      <c r="CS15" s="219"/>
      <c r="CT15" s="3"/>
      <c r="CU15" s="3"/>
      <c r="CV15" s="219"/>
      <c r="CW15" s="219"/>
      <c r="CX15" s="219"/>
      <c r="CY15" s="219"/>
      <c r="CZ15" s="3"/>
    </row>
    <row r="16" spans="1:105" ht="18" customHeight="1">
      <c r="A16" s="221"/>
      <c r="B16" s="223"/>
      <c r="C16" s="229"/>
      <c r="D16" s="230" t="s">
        <v>228</v>
      </c>
      <c r="E16" s="225">
        <v>7</v>
      </c>
      <c r="F16" s="230" t="s">
        <v>12</v>
      </c>
      <c r="G16" s="343">
        <v>2</v>
      </c>
      <c r="H16" s="323" t="s">
        <v>25</v>
      </c>
      <c r="I16" s="1757" t="s">
        <v>1</v>
      </c>
      <c r="J16" s="1758"/>
      <c r="K16" s="1759"/>
      <c r="L16" s="947"/>
      <c r="M16" s="947"/>
      <c r="N16" s="947"/>
      <c r="O16" s="1757" t="s">
        <v>35</v>
      </c>
      <c r="P16" s="1759"/>
      <c r="Q16" s="947"/>
      <c r="R16" s="947"/>
      <c r="S16" s="947"/>
      <c r="T16" s="1757" t="s">
        <v>15</v>
      </c>
      <c r="U16" s="1760"/>
      <c r="V16" s="947"/>
      <c r="W16" s="947"/>
      <c r="X16" s="947"/>
      <c r="Y16" s="1736" t="s">
        <v>353</v>
      </c>
      <c r="Z16" s="1737"/>
      <c r="AA16" s="1804"/>
      <c r="AB16" s="1804"/>
      <c r="AC16" s="1804"/>
      <c r="AD16" s="1737"/>
      <c r="AE16" s="1737"/>
      <c r="AF16" s="1804"/>
      <c r="AG16" s="1804"/>
      <c r="AH16" s="1804"/>
      <c r="AI16" s="1738"/>
      <c r="AJ16" s="1742" t="s">
        <v>359</v>
      </c>
      <c r="AK16" s="1802"/>
      <c r="AL16" s="1802"/>
      <c r="AM16" s="1802"/>
      <c r="AN16" s="1743"/>
      <c r="AO16" s="1743"/>
      <c r="AP16" s="1802"/>
      <c r="AQ16" s="1802"/>
      <c r="AR16" s="1802"/>
      <c r="AS16" s="1743"/>
      <c r="AT16" s="1743"/>
      <c r="AU16" s="1802"/>
      <c r="AV16" s="1802"/>
      <c r="AW16" s="1802"/>
      <c r="AX16" s="1743"/>
      <c r="AY16" s="1743"/>
      <c r="AZ16" s="1802"/>
      <c r="BA16" s="1802"/>
      <c r="BB16" s="1802"/>
      <c r="BC16" s="1743"/>
      <c r="BD16" s="1744"/>
      <c r="BE16" s="961"/>
      <c r="BF16" s="961"/>
      <c r="BG16" s="961"/>
      <c r="BH16" s="1790"/>
      <c r="BI16" s="1791"/>
      <c r="BJ16" s="1791"/>
      <c r="BK16" s="1791"/>
      <c r="BL16" s="1791"/>
      <c r="BM16" s="1791"/>
      <c r="BN16" s="1791"/>
      <c r="BO16" s="1791"/>
      <c r="BP16" s="1791"/>
      <c r="BQ16" s="1791"/>
      <c r="BR16" s="1791"/>
      <c r="BS16" s="1791"/>
      <c r="BT16" s="1791"/>
      <c r="BU16" s="1791"/>
      <c r="BV16" s="1791"/>
      <c r="BW16" s="1791"/>
      <c r="BX16" s="1791"/>
      <c r="BY16" s="1791"/>
      <c r="BZ16" s="1791"/>
      <c r="CA16" s="1791"/>
      <c r="CB16" s="1791"/>
      <c r="CC16" s="1791"/>
      <c r="CD16" s="1791"/>
      <c r="CE16" s="1791"/>
      <c r="CF16" s="1791"/>
      <c r="CG16" s="1791"/>
      <c r="CH16" s="1791"/>
      <c r="CI16" s="1791"/>
      <c r="CJ16" s="1791"/>
      <c r="CK16" s="1791"/>
      <c r="CL16" s="1791"/>
      <c r="CM16" s="1791"/>
      <c r="CN16" s="1792"/>
      <c r="CO16" s="89"/>
      <c r="CP16" s="89"/>
      <c r="CQ16" s="89"/>
      <c r="CR16" s="89"/>
      <c r="CS16" s="89"/>
      <c r="CT16" s="3"/>
      <c r="CU16" s="3"/>
      <c r="CV16" s="89"/>
      <c r="CW16" s="89"/>
      <c r="CX16" s="89"/>
      <c r="CY16" s="89"/>
      <c r="CZ16" s="3"/>
    </row>
    <row r="17" spans="1:114" ht="18" customHeight="1" thickBot="1">
      <c r="A17" s="221"/>
      <c r="B17" s="242"/>
      <c r="C17" s="221" t="s">
        <v>240</v>
      </c>
      <c r="D17" s="296" t="s">
        <v>242</v>
      </c>
      <c r="E17" s="344">
        <v>18</v>
      </c>
      <c r="F17" s="296" t="s">
        <v>243</v>
      </c>
      <c r="G17" s="227"/>
      <c r="H17" s="345" t="s">
        <v>27</v>
      </c>
      <c r="I17" s="1761" t="s">
        <v>13</v>
      </c>
      <c r="J17" s="1762"/>
      <c r="K17" s="1763"/>
      <c r="L17" s="949"/>
      <c r="M17" s="949"/>
      <c r="N17" s="949"/>
      <c r="O17" s="1761" t="s">
        <v>10</v>
      </c>
      <c r="P17" s="1763"/>
      <c r="Q17" s="949"/>
      <c r="R17" s="949"/>
      <c r="S17" s="949"/>
      <c r="T17" s="1761"/>
      <c r="U17" s="1764"/>
      <c r="V17" s="949"/>
      <c r="W17" s="949"/>
      <c r="X17" s="949"/>
      <c r="Y17" s="1739"/>
      <c r="Z17" s="1740"/>
      <c r="AA17" s="1740"/>
      <c r="AB17" s="1740"/>
      <c r="AC17" s="1740"/>
      <c r="AD17" s="1740"/>
      <c r="AE17" s="1740"/>
      <c r="AF17" s="1740"/>
      <c r="AG17" s="1740"/>
      <c r="AH17" s="1740"/>
      <c r="AI17" s="1741"/>
      <c r="AJ17" s="1745"/>
      <c r="AK17" s="1746"/>
      <c r="AL17" s="1746"/>
      <c r="AM17" s="1746"/>
      <c r="AN17" s="1746"/>
      <c r="AO17" s="1746"/>
      <c r="AP17" s="1746"/>
      <c r="AQ17" s="1746"/>
      <c r="AR17" s="1746"/>
      <c r="AS17" s="1746"/>
      <c r="AT17" s="1746"/>
      <c r="AU17" s="1746"/>
      <c r="AV17" s="1746"/>
      <c r="AW17" s="1746"/>
      <c r="AX17" s="1746"/>
      <c r="AY17" s="1746"/>
      <c r="AZ17" s="1746"/>
      <c r="BA17" s="1746"/>
      <c r="BB17" s="1746"/>
      <c r="BC17" s="1746"/>
      <c r="BD17" s="1747"/>
      <c r="BE17" s="948"/>
      <c r="BF17" s="948"/>
      <c r="BG17" s="948"/>
      <c r="BH17" s="1793"/>
      <c r="BI17" s="1794"/>
      <c r="BJ17" s="1794"/>
      <c r="BK17" s="1794"/>
      <c r="BL17" s="1794"/>
      <c r="BM17" s="1794"/>
      <c r="BN17" s="1794"/>
      <c r="BO17" s="1794"/>
      <c r="BP17" s="1794"/>
      <c r="BQ17" s="1794"/>
      <c r="BR17" s="1794"/>
      <c r="BS17" s="1794"/>
      <c r="BT17" s="1794"/>
      <c r="BU17" s="1794"/>
      <c r="BV17" s="1794"/>
      <c r="BW17" s="1794"/>
      <c r="BX17" s="1794"/>
      <c r="BY17" s="1794"/>
      <c r="BZ17" s="1794"/>
      <c r="CA17" s="1794"/>
      <c r="CB17" s="1794"/>
      <c r="CC17" s="1794"/>
      <c r="CD17" s="1794"/>
      <c r="CE17" s="1794"/>
      <c r="CF17" s="1794"/>
      <c r="CG17" s="1794"/>
      <c r="CH17" s="1794"/>
      <c r="CI17" s="1794"/>
      <c r="CJ17" s="1794"/>
      <c r="CK17" s="1794"/>
      <c r="CL17" s="1794"/>
      <c r="CM17" s="1794"/>
      <c r="CN17" s="1795"/>
      <c r="CO17" s="59"/>
      <c r="CP17" s="59"/>
      <c r="CQ17" s="59"/>
      <c r="CR17" s="59"/>
      <c r="CS17" s="59"/>
      <c r="CT17" s="3"/>
      <c r="CU17" s="3"/>
      <c r="CV17" s="59"/>
      <c r="CW17" s="59"/>
      <c r="CX17" s="59"/>
      <c r="CY17" s="59"/>
      <c r="CZ17" s="3"/>
    </row>
    <row r="18" spans="1:114" ht="15.75" customHeight="1">
      <c r="A18" s="221"/>
      <c r="B18" s="222" t="s">
        <v>1142</v>
      </c>
      <c r="C18" s="223"/>
      <c r="D18" s="223"/>
      <c r="E18" s="224"/>
      <c r="F18" s="241"/>
      <c r="G18" s="223"/>
      <c r="H18" s="1733" t="s">
        <v>251</v>
      </c>
      <c r="I18" s="1734"/>
      <c r="J18" s="1734"/>
      <c r="K18" s="1734"/>
      <c r="L18" s="1734"/>
      <c r="M18" s="1734"/>
      <c r="N18" s="1734"/>
      <c r="O18" s="1734"/>
      <c r="P18" s="1734"/>
      <c r="Q18" s="1734"/>
      <c r="R18" s="1734"/>
      <c r="S18" s="1734"/>
      <c r="T18" s="1734"/>
      <c r="U18" s="1735"/>
      <c r="V18" s="958"/>
      <c r="W18" s="958"/>
      <c r="X18" s="958"/>
      <c r="Y18" s="1736" t="s">
        <v>354</v>
      </c>
      <c r="Z18" s="1737"/>
      <c r="AA18" s="1804"/>
      <c r="AB18" s="1804"/>
      <c r="AC18" s="1804"/>
      <c r="AD18" s="1737"/>
      <c r="AE18" s="1737"/>
      <c r="AF18" s="1804"/>
      <c r="AG18" s="1804"/>
      <c r="AH18" s="1804"/>
      <c r="AI18" s="1738"/>
      <c r="AJ18" s="1742" t="s">
        <v>352</v>
      </c>
      <c r="AK18" s="1802"/>
      <c r="AL18" s="1802"/>
      <c r="AM18" s="1802"/>
      <c r="AN18" s="1743"/>
      <c r="AO18" s="1743"/>
      <c r="AP18" s="1802"/>
      <c r="AQ18" s="1802"/>
      <c r="AR18" s="1802"/>
      <c r="AS18" s="1743"/>
      <c r="AT18" s="1743"/>
      <c r="AU18" s="1802"/>
      <c r="AV18" s="1802"/>
      <c r="AW18" s="1802"/>
      <c r="AX18" s="1743"/>
      <c r="AY18" s="1743"/>
      <c r="AZ18" s="1802"/>
      <c r="BA18" s="1802"/>
      <c r="BB18" s="1802"/>
      <c r="BC18" s="1743"/>
      <c r="BD18" s="1744"/>
      <c r="BE18" s="956"/>
      <c r="BF18" s="956"/>
      <c r="BG18" s="956"/>
      <c r="BH18" s="1786" t="s">
        <v>250</v>
      </c>
      <c r="BI18" s="1787"/>
      <c r="BJ18" s="1788"/>
      <c r="BK18" s="1788"/>
      <c r="BL18" s="1788"/>
      <c r="BM18" s="1787"/>
      <c r="BN18" s="1787"/>
      <c r="BO18" s="1788"/>
      <c r="BP18" s="1788"/>
      <c r="BQ18" s="1788"/>
      <c r="BR18" s="1787"/>
      <c r="BS18" s="1788"/>
      <c r="BT18" s="1788"/>
      <c r="BU18" s="1788"/>
      <c r="BV18" s="1788"/>
      <c r="BW18" s="1788"/>
      <c r="BX18" s="1787"/>
      <c r="BY18" s="1788"/>
      <c r="BZ18" s="1788"/>
      <c r="CA18" s="1788"/>
      <c r="CB18" s="1787"/>
      <c r="CC18" s="1787"/>
      <c r="CD18" s="1788"/>
      <c r="CE18" s="1788"/>
      <c r="CF18" s="1788"/>
      <c r="CG18" s="1788"/>
      <c r="CH18" s="1787"/>
      <c r="CI18" s="1787"/>
      <c r="CJ18" s="1788"/>
      <c r="CK18" s="1788"/>
      <c r="CL18" s="1788"/>
      <c r="CM18" s="1788"/>
      <c r="CN18" s="1789"/>
      <c r="CO18" s="89"/>
      <c r="CP18" s="89"/>
      <c r="CQ18" s="89"/>
      <c r="CR18" s="89"/>
      <c r="CS18" s="89"/>
      <c r="CT18" s="3"/>
      <c r="CU18" s="3"/>
      <c r="CV18" s="89"/>
      <c r="CW18" s="89"/>
      <c r="CX18" s="89"/>
      <c r="CY18" s="89"/>
      <c r="CZ18" s="3"/>
    </row>
    <row r="19" spans="1:114" ht="18" customHeight="1" thickBot="1">
      <c r="A19" s="221"/>
      <c r="B19" s="228" t="s">
        <v>226</v>
      </c>
      <c r="C19" s="229"/>
      <c r="D19" s="230" t="s">
        <v>227</v>
      </c>
      <c r="E19" s="225">
        <v>7</v>
      </c>
      <c r="F19" s="230" t="s">
        <v>229</v>
      </c>
      <c r="G19" s="343">
        <v>3</v>
      </c>
      <c r="H19" s="323" t="s">
        <v>23</v>
      </c>
      <c r="I19" s="1757" t="s">
        <v>29</v>
      </c>
      <c r="J19" s="1758"/>
      <c r="K19" s="1759"/>
      <c r="L19" s="947"/>
      <c r="M19" s="947"/>
      <c r="N19" s="947"/>
      <c r="O19" s="1757" t="s">
        <v>14</v>
      </c>
      <c r="P19" s="1759"/>
      <c r="Q19" s="947"/>
      <c r="R19" s="947"/>
      <c r="S19" s="947"/>
      <c r="T19" s="1757" t="s">
        <v>11</v>
      </c>
      <c r="U19" s="1760"/>
      <c r="V19" s="947"/>
      <c r="W19" s="947"/>
      <c r="X19" s="947"/>
      <c r="Y19" s="1739"/>
      <c r="Z19" s="1740"/>
      <c r="AA19" s="1740"/>
      <c r="AB19" s="1740"/>
      <c r="AC19" s="1740"/>
      <c r="AD19" s="1740"/>
      <c r="AE19" s="1740"/>
      <c r="AF19" s="1740"/>
      <c r="AG19" s="1740"/>
      <c r="AH19" s="1740"/>
      <c r="AI19" s="1741"/>
      <c r="AJ19" s="1745"/>
      <c r="AK19" s="1746"/>
      <c r="AL19" s="1746"/>
      <c r="AM19" s="1746"/>
      <c r="AN19" s="1746"/>
      <c r="AO19" s="1746"/>
      <c r="AP19" s="1746"/>
      <c r="AQ19" s="1746"/>
      <c r="AR19" s="1746"/>
      <c r="AS19" s="1746"/>
      <c r="AT19" s="1746"/>
      <c r="AU19" s="1746"/>
      <c r="AV19" s="1746"/>
      <c r="AW19" s="1746"/>
      <c r="AX19" s="1746"/>
      <c r="AY19" s="1746"/>
      <c r="AZ19" s="1746"/>
      <c r="BA19" s="1746"/>
      <c r="BB19" s="1746"/>
      <c r="BC19" s="1746"/>
      <c r="BD19" s="1747"/>
      <c r="BE19" s="961"/>
      <c r="BF19" s="961"/>
      <c r="BG19" s="961"/>
      <c r="BH19" s="1790"/>
      <c r="BI19" s="1791"/>
      <c r="BJ19" s="1791"/>
      <c r="BK19" s="1791"/>
      <c r="BL19" s="1791"/>
      <c r="BM19" s="1791"/>
      <c r="BN19" s="1791"/>
      <c r="BO19" s="1791"/>
      <c r="BP19" s="1791"/>
      <c r="BQ19" s="1791"/>
      <c r="BR19" s="1791"/>
      <c r="BS19" s="1791"/>
      <c r="BT19" s="1791"/>
      <c r="BU19" s="1791"/>
      <c r="BV19" s="1791"/>
      <c r="BW19" s="1791"/>
      <c r="BX19" s="1791"/>
      <c r="BY19" s="1791"/>
      <c r="BZ19" s="1791"/>
      <c r="CA19" s="1791"/>
      <c r="CB19" s="1791"/>
      <c r="CC19" s="1791"/>
      <c r="CD19" s="1791"/>
      <c r="CE19" s="1791"/>
      <c r="CF19" s="1791"/>
      <c r="CG19" s="1791"/>
      <c r="CH19" s="1791"/>
      <c r="CI19" s="1791"/>
      <c r="CJ19" s="1791"/>
      <c r="CK19" s="1791"/>
      <c r="CL19" s="1791"/>
      <c r="CM19" s="1791"/>
      <c r="CN19" s="1792"/>
      <c r="CO19" s="219"/>
      <c r="CP19" s="219"/>
      <c r="CQ19" s="219"/>
      <c r="CR19" s="219"/>
      <c r="CS19" s="219"/>
      <c r="CT19" s="3"/>
      <c r="CU19" s="3"/>
      <c r="CV19" s="219"/>
      <c r="CW19" s="219"/>
      <c r="CX19" s="219"/>
      <c r="CY19" s="219"/>
      <c r="CZ19" s="3"/>
    </row>
    <row r="20" spans="1:114" ht="18" customHeight="1">
      <c r="A20" s="221"/>
      <c r="B20" s="223"/>
      <c r="C20" s="229"/>
      <c r="D20" s="230" t="s">
        <v>228</v>
      </c>
      <c r="E20" s="225">
        <v>7</v>
      </c>
      <c r="F20" s="230" t="s">
        <v>12</v>
      </c>
      <c r="G20" s="343">
        <v>2</v>
      </c>
      <c r="H20" s="323" t="s">
        <v>25</v>
      </c>
      <c r="I20" s="1757" t="s">
        <v>1</v>
      </c>
      <c r="J20" s="1758"/>
      <c r="K20" s="1759"/>
      <c r="L20" s="947"/>
      <c r="M20" s="947"/>
      <c r="N20" s="947"/>
      <c r="O20" s="1757" t="s">
        <v>35</v>
      </c>
      <c r="P20" s="1759"/>
      <c r="Q20" s="947"/>
      <c r="R20" s="947"/>
      <c r="S20" s="947"/>
      <c r="T20" s="1757" t="s">
        <v>15</v>
      </c>
      <c r="U20" s="1760"/>
      <c r="V20" s="947"/>
      <c r="W20" s="947"/>
      <c r="X20" s="947"/>
      <c r="Y20" s="1736" t="s">
        <v>353</v>
      </c>
      <c r="Z20" s="1737"/>
      <c r="AA20" s="1804"/>
      <c r="AB20" s="1804"/>
      <c r="AC20" s="1804"/>
      <c r="AD20" s="1737"/>
      <c r="AE20" s="1737"/>
      <c r="AF20" s="1804"/>
      <c r="AG20" s="1804"/>
      <c r="AH20" s="1804"/>
      <c r="AI20" s="1738"/>
      <c r="AJ20" s="1742" t="s">
        <v>359</v>
      </c>
      <c r="AK20" s="1802"/>
      <c r="AL20" s="1802"/>
      <c r="AM20" s="1802"/>
      <c r="AN20" s="1743"/>
      <c r="AO20" s="1743"/>
      <c r="AP20" s="1802"/>
      <c r="AQ20" s="1802"/>
      <c r="AR20" s="1802"/>
      <c r="AS20" s="1743"/>
      <c r="AT20" s="1743"/>
      <c r="AU20" s="1802"/>
      <c r="AV20" s="1802"/>
      <c r="AW20" s="1802"/>
      <c r="AX20" s="1743"/>
      <c r="AY20" s="1743"/>
      <c r="AZ20" s="1802"/>
      <c r="BA20" s="1802"/>
      <c r="BB20" s="1802"/>
      <c r="BC20" s="1743"/>
      <c r="BD20" s="1744"/>
      <c r="BE20" s="961"/>
      <c r="BF20" s="961"/>
      <c r="BG20" s="961"/>
      <c r="BH20" s="1790"/>
      <c r="BI20" s="1791"/>
      <c r="BJ20" s="1791"/>
      <c r="BK20" s="1791"/>
      <c r="BL20" s="1791"/>
      <c r="BM20" s="1791"/>
      <c r="BN20" s="1791"/>
      <c r="BO20" s="1791"/>
      <c r="BP20" s="1791"/>
      <c r="BQ20" s="1791"/>
      <c r="BR20" s="1791"/>
      <c r="BS20" s="1791"/>
      <c r="BT20" s="1791"/>
      <c r="BU20" s="1791"/>
      <c r="BV20" s="1791"/>
      <c r="BW20" s="1791"/>
      <c r="BX20" s="1791"/>
      <c r="BY20" s="1791"/>
      <c r="BZ20" s="1791"/>
      <c r="CA20" s="1791"/>
      <c r="CB20" s="1791"/>
      <c r="CC20" s="1791"/>
      <c r="CD20" s="1791"/>
      <c r="CE20" s="1791"/>
      <c r="CF20" s="1791"/>
      <c r="CG20" s="1791"/>
      <c r="CH20" s="1791"/>
      <c r="CI20" s="1791"/>
      <c r="CJ20" s="1791"/>
      <c r="CK20" s="1791"/>
      <c r="CL20" s="1791"/>
      <c r="CM20" s="1791"/>
      <c r="CN20" s="1792"/>
      <c r="CO20" s="89"/>
      <c r="CP20" s="89"/>
      <c r="CQ20" s="89"/>
      <c r="CR20" s="89"/>
      <c r="CS20" s="89"/>
      <c r="CT20" s="3"/>
      <c r="CU20" s="3"/>
      <c r="CV20" s="89"/>
      <c r="CW20" s="89"/>
      <c r="CX20" s="89"/>
      <c r="CY20" s="89"/>
      <c r="CZ20" s="3"/>
    </row>
    <row r="21" spans="1:114" ht="18" customHeight="1" thickBot="1">
      <c r="A21" s="221"/>
      <c r="B21" s="242"/>
      <c r="C21" s="221" t="s">
        <v>240</v>
      </c>
      <c r="D21" s="296" t="s">
        <v>242</v>
      </c>
      <c r="E21" s="344">
        <v>18</v>
      </c>
      <c r="F21" s="296" t="s">
        <v>243</v>
      </c>
      <c r="G21" s="227"/>
      <c r="H21" s="345" t="s">
        <v>27</v>
      </c>
      <c r="I21" s="1761" t="s">
        <v>13</v>
      </c>
      <c r="J21" s="1762"/>
      <c r="K21" s="1763"/>
      <c r="L21" s="949"/>
      <c r="M21" s="949"/>
      <c r="N21" s="949"/>
      <c r="O21" s="1761" t="s">
        <v>10</v>
      </c>
      <c r="P21" s="1763"/>
      <c r="Q21" s="949"/>
      <c r="R21" s="949"/>
      <c r="S21" s="949"/>
      <c r="T21" s="1761"/>
      <c r="U21" s="1764"/>
      <c r="V21" s="949"/>
      <c r="W21" s="949"/>
      <c r="X21" s="949"/>
      <c r="Y21" s="1739"/>
      <c r="Z21" s="1740"/>
      <c r="AA21" s="1740"/>
      <c r="AB21" s="1740"/>
      <c r="AC21" s="1740"/>
      <c r="AD21" s="1740"/>
      <c r="AE21" s="1740"/>
      <c r="AF21" s="1740"/>
      <c r="AG21" s="1740"/>
      <c r="AH21" s="1740"/>
      <c r="AI21" s="1741"/>
      <c r="AJ21" s="1745"/>
      <c r="AK21" s="1746"/>
      <c r="AL21" s="1746"/>
      <c r="AM21" s="1746"/>
      <c r="AN21" s="1746"/>
      <c r="AO21" s="1746"/>
      <c r="AP21" s="1746"/>
      <c r="AQ21" s="1746"/>
      <c r="AR21" s="1746"/>
      <c r="AS21" s="1746"/>
      <c r="AT21" s="1746"/>
      <c r="AU21" s="1746"/>
      <c r="AV21" s="1746"/>
      <c r="AW21" s="1746"/>
      <c r="AX21" s="1746"/>
      <c r="AY21" s="1746"/>
      <c r="AZ21" s="1746"/>
      <c r="BA21" s="1746"/>
      <c r="BB21" s="1746"/>
      <c r="BC21" s="1746"/>
      <c r="BD21" s="1747"/>
      <c r="BE21" s="948"/>
      <c r="BF21" s="948"/>
      <c r="BG21" s="948"/>
      <c r="BH21" s="1793"/>
      <c r="BI21" s="1794"/>
      <c r="BJ21" s="1794"/>
      <c r="BK21" s="1794"/>
      <c r="BL21" s="1794"/>
      <c r="BM21" s="1794"/>
      <c r="BN21" s="1794"/>
      <c r="BO21" s="1794"/>
      <c r="BP21" s="1794"/>
      <c r="BQ21" s="1794"/>
      <c r="BR21" s="1794"/>
      <c r="BS21" s="1794"/>
      <c r="BT21" s="1794"/>
      <c r="BU21" s="1794"/>
      <c r="BV21" s="1794"/>
      <c r="BW21" s="1794"/>
      <c r="BX21" s="1794"/>
      <c r="BY21" s="1794"/>
      <c r="BZ21" s="1794"/>
      <c r="CA21" s="1794"/>
      <c r="CB21" s="1794"/>
      <c r="CC21" s="1794"/>
      <c r="CD21" s="1794"/>
      <c r="CE21" s="1794"/>
      <c r="CF21" s="1794"/>
      <c r="CG21" s="1794"/>
      <c r="CH21" s="1794"/>
      <c r="CI21" s="1794"/>
      <c r="CJ21" s="1794"/>
      <c r="CK21" s="1794"/>
      <c r="CL21" s="1794"/>
      <c r="CM21" s="1794"/>
      <c r="CN21" s="1795"/>
      <c r="CO21" s="59"/>
      <c r="CP21" s="59"/>
      <c r="CQ21" s="59"/>
      <c r="CR21" s="59"/>
      <c r="CS21" s="59"/>
      <c r="CT21" s="3"/>
      <c r="CU21" s="3"/>
      <c r="CV21" s="59"/>
      <c r="CW21" s="59"/>
      <c r="CX21" s="59"/>
      <c r="CY21" s="59"/>
      <c r="CZ21" s="3"/>
    </row>
    <row r="22" spans="1:114" ht="15.75" customHeight="1">
      <c r="A22" s="221"/>
      <c r="B22" s="222" t="s">
        <v>1143</v>
      </c>
      <c r="C22" s="223"/>
      <c r="D22" s="223"/>
      <c r="E22" s="224"/>
      <c r="F22" s="241"/>
      <c r="G22" s="223"/>
      <c r="H22" s="1733" t="s">
        <v>251</v>
      </c>
      <c r="I22" s="1734"/>
      <c r="J22" s="1734"/>
      <c r="K22" s="1734"/>
      <c r="L22" s="1734"/>
      <c r="M22" s="1734"/>
      <c r="N22" s="1734"/>
      <c r="O22" s="1734"/>
      <c r="P22" s="1734"/>
      <c r="Q22" s="1734"/>
      <c r="R22" s="1734"/>
      <c r="S22" s="1734"/>
      <c r="T22" s="1734"/>
      <c r="U22" s="1735"/>
      <c r="V22" s="958"/>
      <c r="W22" s="958"/>
      <c r="X22" s="958"/>
      <c r="Y22" s="1736" t="s">
        <v>354</v>
      </c>
      <c r="Z22" s="1737"/>
      <c r="AA22" s="1804"/>
      <c r="AB22" s="1804"/>
      <c r="AC22" s="1804"/>
      <c r="AD22" s="1737"/>
      <c r="AE22" s="1737"/>
      <c r="AF22" s="1804"/>
      <c r="AG22" s="1804"/>
      <c r="AH22" s="1804"/>
      <c r="AI22" s="1738"/>
      <c r="AJ22" s="1742" t="s">
        <v>352</v>
      </c>
      <c r="AK22" s="1802"/>
      <c r="AL22" s="1802"/>
      <c r="AM22" s="1802"/>
      <c r="AN22" s="1743"/>
      <c r="AO22" s="1743"/>
      <c r="AP22" s="1802"/>
      <c r="AQ22" s="1802"/>
      <c r="AR22" s="1802"/>
      <c r="AS22" s="1743"/>
      <c r="AT22" s="1743"/>
      <c r="AU22" s="1802"/>
      <c r="AV22" s="1802"/>
      <c r="AW22" s="1802"/>
      <c r="AX22" s="1743"/>
      <c r="AY22" s="1743"/>
      <c r="AZ22" s="1802"/>
      <c r="BA22" s="1802"/>
      <c r="BB22" s="1802"/>
      <c r="BC22" s="1743"/>
      <c r="BD22" s="1744"/>
      <c r="BE22" s="956"/>
      <c r="BF22" s="956"/>
      <c r="BG22" s="956"/>
      <c r="BH22" s="1786" t="s">
        <v>250</v>
      </c>
      <c r="BI22" s="1787"/>
      <c r="BJ22" s="1788"/>
      <c r="BK22" s="1788"/>
      <c r="BL22" s="1788"/>
      <c r="BM22" s="1787"/>
      <c r="BN22" s="1787"/>
      <c r="BO22" s="1788"/>
      <c r="BP22" s="1788"/>
      <c r="BQ22" s="1788"/>
      <c r="BR22" s="1787"/>
      <c r="BS22" s="1788"/>
      <c r="BT22" s="1788"/>
      <c r="BU22" s="1788"/>
      <c r="BV22" s="1788"/>
      <c r="BW22" s="1788"/>
      <c r="BX22" s="1787"/>
      <c r="BY22" s="1788"/>
      <c r="BZ22" s="1788"/>
      <c r="CA22" s="1788"/>
      <c r="CB22" s="1787"/>
      <c r="CC22" s="1787"/>
      <c r="CD22" s="1788"/>
      <c r="CE22" s="1788"/>
      <c r="CF22" s="1788"/>
      <c r="CG22" s="1788"/>
      <c r="CH22" s="1787"/>
      <c r="CI22" s="1787"/>
      <c r="CJ22" s="1788"/>
      <c r="CK22" s="1788"/>
      <c r="CL22" s="1788"/>
      <c r="CM22" s="1788"/>
      <c r="CN22" s="1789"/>
      <c r="CO22" s="89"/>
      <c r="CP22" s="89"/>
      <c r="CQ22" s="89"/>
      <c r="CR22" s="89"/>
      <c r="CS22" s="89"/>
      <c r="CT22" s="3"/>
      <c r="CU22" s="3"/>
      <c r="CV22" s="89"/>
      <c r="CW22" s="89"/>
      <c r="CX22" s="89"/>
      <c r="CY22" s="89"/>
      <c r="CZ22" s="3"/>
    </row>
    <row r="23" spans="1:114" ht="18" customHeight="1" thickBot="1">
      <c r="A23" s="221"/>
      <c r="B23" s="228" t="s">
        <v>226</v>
      </c>
      <c r="C23" s="229"/>
      <c r="D23" s="230" t="s">
        <v>227</v>
      </c>
      <c r="E23" s="225">
        <v>7</v>
      </c>
      <c r="F23" s="230" t="s">
        <v>229</v>
      </c>
      <c r="G23" s="343">
        <v>3</v>
      </c>
      <c r="H23" s="323" t="s">
        <v>23</v>
      </c>
      <c r="I23" s="1757" t="s">
        <v>29</v>
      </c>
      <c r="J23" s="1758"/>
      <c r="K23" s="1759"/>
      <c r="L23" s="947"/>
      <c r="M23" s="947"/>
      <c r="N23" s="947"/>
      <c r="O23" s="1757" t="s">
        <v>14</v>
      </c>
      <c r="P23" s="1759"/>
      <c r="Q23" s="947"/>
      <c r="R23" s="947"/>
      <c r="S23" s="947"/>
      <c r="T23" s="1757" t="s">
        <v>11</v>
      </c>
      <c r="U23" s="1760"/>
      <c r="V23" s="947"/>
      <c r="W23" s="947"/>
      <c r="X23" s="947"/>
      <c r="Y23" s="1739"/>
      <c r="Z23" s="1740"/>
      <c r="AA23" s="1740"/>
      <c r="AB23" s="1740"/>
      <c r="AC23" s="1740"/>
      <c r="AD23" s="1740"/>
      <c r="AE23" s="1740"/>
      <c r="AF23" s="1740"/>
      <c r="AG23" s="1740"/>
      <c r="AH23" s="1740"/>
      <c r="AI23" s="1741"/>
      <c r="AJ23" s="1745"/>
      <c r="AK23" s="1746"/>
      <c r="AL23" s="1746"/>
      <c r="AM23" s="1746"/>
      <c r="AN23" s="1746"/>
      <c r="AO23" s="1746"/>
      <c r="AP23" s="1746"/>
      <c r="AQ23" s="1746"/>
      <c r="AR23" s="1746"/>
      <c r="AS23" s="1746"/>
      <c r="AT23" s="1746"/>
      <c r="AU23" s="1746"/>
      <c r="AV23" s="1746"/>
      <c r="AW23" s="1746"/>
      <c r="AX23" s="1746"/>
      <c r="AY23" s="1746"/>
      <c r="AZ23" s="1746"/>
      <c r="BA23" s="1746"/>
      <c r="BB23" s="1746"/>
      <c r="BC23" s="1746"/>
      <c r="BD23" s="1747"/>
      <c r="BE23" s="961"/>
      <c r="BF23" s="961"/>
      <c r="BG23" s="961"/>
      <c r="BH23" s="1790"/>
      <c r="BI23" s="1791"/>
      <c r="BJ23" s="1791"/>
      <c r="BK23" s="1791"/>
      <c r="BL23" s="1791"/>
      <c r="BM23" s="1791"/>
      <c r="BN23" s="1791"/>
      <c r="BO23" s="1791"/>
      <c r="BP23" s="1791"/>
      <c r="BQ23" s="1791"/>
      <c r="BR23" s="1791"/>
      <c r="BS23" s="1791"/>
      <c r="BT23" s="1791"/>
      <c r="BU23" s="1791"/>
      <c r="BV23" s="1791"/>
      <c r="BW23" s="1791"/>
      <c r="BX23" s="1791"/>
      <c r="BY23" s="1791"/>
      <c r="BZ23" s="1791"/>
      <c r="CA23" s="1791"/>
      <c r="CB23" s="1791"/>
      <c r="CC23" s="1791"/>
      <c r="CD23" s="1791"/>
      <c r="CE23" s="1791"/>
      <c r="CF23" s="1791"/>
      <c r="CG23" s="1791"/>
      <c r="CH23" s="1791"/>
      <c r="CI23" s="1791"/>
      <c r="CJ23" s="1791"/>
      <c r="CK23" s="1791"/>
      <c r="CL23" s="1791"/>
      <c r="CM23" s="1791"/>
      <c r="CN23" s="1792"/>
      <c r="CO23" s="219"/>
      <c r="CP23" s="219"/>
      <c r="CQ23" s="219"/>
      <c r="CR23" s="219"/>
      <c r="CS23" s="219"/>
      <c r="CT23" s="3"/>
      <c r="CU23" s="3"/>
      <c r="CV23" s="219"/>
      <c r="CW23" s="219"/>
      <c r="CX23" s="219"/>
      <c r="CY23" s="219"/>
      <c r="CZ23" s="3"/>
    </row>
    <row r="24" spans="1:114" ht="18" customHeight="1">
      <c r="A24" s="221"/>
      <c r="B24" s="223"/>
      <c r="C24" s="229"/>
      <c r="D24" s="230" t="s">
        <v>228</v>
      </c>
      <c r="E24" s="225">
        <v>7</v>
      </c>
      <c r="F24" s="230" t="s">
        <v>12</v>
      </c>
      <c r="G24" s="343">
        <v>2</v>
      </c>
      <c r="H24" s="323" t="s">
        <v>25</v>
      </c>
      <c r="I24" s="1757" t="s">
        <v>1</v>
      </c>
      <c r="J24" s="1758"/>
      <c r="K24" s="1759"/>
      <c r="L24" s="947"/>
      <c r="M24" s="947"/>
      <c r="N24" s="947"/>
      <c r="O24" s="1757" t="s">
        <v>35</v>
      </c>
      <c r="P24" s="1759"/>
      <c r="Q24" s="947"/>
      <c r="R24" s="947"/>
      <c r="S24" s="947"/>
      <c r="T24" s="1757" t="s">
        <v>15</v>
      </c>
      <c r="U24" s="1760"/>
      <c r="V24" s="947"/>
      <c r="W24" s="947"/>
      <c r="X24" s="947"/>
      <c r="Y24" s="1736" t="s">
        <v>353</v>
      </c>
      <c r="Z24" s="1737"/>
      <c r="AA24" s="1804"/>
      <c r="AB24" s="1804"/>
      <c r="AC24" s="1804"/>
      <c r="AD24" s="1737"/>
      <c r="AE24" s="1737"/>
      <c r="AF24" s="1804"/>
      <c r="AG24" s="1804"/>
      <c r="AH24" s="1804"/>
      <c r="AI24" s="1738"/>
      <c r="AJ24" s="1742" t="s">
        <v>359</v>
      </c>
      <c r="AK24" s="1802"/>
      <c r="AL24" s="1802"/>
      <c r="AM24" s="1802"/>
      <c r="AN24" s="1743"/>
      <c r="AO24" s="1743"/>
      <c r="AP24" s="1802"/>
      <c r="AQ24" s="1802"/>
      <c r="AR24" s="1802"/>
      <c r="AS24" s="1743"/>
      <c r="AT24" s="1743"/>
      <c r="AU24" s="1802"/>
      <c r="AV24" s="1802"/>
      <c r="AW24" s="1802"/>
      <c r="AX24" s="1743"/>
      <c r="AY24" s="1743"/>
      <c r="AZ24" s="1802"/>
      <c r="BA24" s="1802"/>
      <c r="BB24" s="1802"/>
      <c r="BC24" s="1743"/>
      <c r="BD24" s="1744"/>
      <c r="BE24" s="961"/>
      <c r="BF24" s="961"/>
      <c r="BG24" s="961"/>
      <c r="BH24" s="1790"/>
      <c r="BI24" s="1791"/>
      <c r="BJ24" s="1791"/>
      <c r="BK24" s="1791"/>
      <c r="BL24" s="1791"/>
      <c r="BM24" s="1791"/>
      <c r="BN24" s="1791"/>
      <c r="BO24" s="1791"/>
      <c r="BP24" s="1791"/>
      <c r="BQ24" s="1791"/>
      <c r="BR24" s="1791"/>
      <c r="BS24" s="1791"/>
      <c r="BT24" s="1791"/>
      <c r="BU24" s="1791"/>
      <c r="BV24" s="1791"/>
      <c r="BW24" s="1791"/>
      <c r="BX24" s="1791"/>
      <c r="BY24" s="1791"/>
      <c r="BZ24" s="1791"/>
      <c r="CA24" s="1791"/>
      <c r="CB24" s="1791"/>
      <c r="CC24" s="1791"/>
      <c r="CD24" s="1791"/>
      <c r="CE24" s="1791"/>
      <c r="CF24" s="1791"/>
      <c r="CG24" s="1791"/>
      <c r="CH24" s="1791"/>
      <c r="CI24" s="1791"/>
      <c r="CJ24" s="1791"/>
      <c r="CK24" s="1791"/>
      <c r="CL24" s="1791"/>
      <c r="CM24" s="1791"/>
      <c r="CN24" s="1792"/>
      <c r="CO24" s="89"/>
      <c r="CP24" s="89"/>
      <c r="CQ24" s="89"/>
      <c r="CR24" s="89"/>
      <c r="CS24" s="89"/>
      <c r="CT24" s="3"/>
      <c r="CU24" s="3"/>
      <c r="CV24" s="89"/>
      <c r="CW24" s="89"/>
      <c r="CX24" s="89"/>
      <c r="CY24" s="89"/>
      <c r="CZ24" s="3"/>
    </row>
    <row r="25" spans="1:114" ht="18" customHeight="1" thickBot="1">
      <c r="A25" s="221"/>
      <c r="B25" s="242"/>
      <c r="C25" s="221" t="s">
        <v>240</v>
      </c>
      <c r="D25" s="296" t="s">
        <v>242</v>
      </c>
      <c r="E25" s="344">
        <v>18</v>
      </c>
      <c r="F25" s="296" t="s">
        <v>243</v>
      </c>
      <c r="G25" s="227"/>
      <c r="H25" s="345" t="s">
        <v>27</v>
      </c>
      <c r="I25" s="1761" t="s">
        <v>13</v>
      </c>
      <c r="J25" s="1762"/>
      <c r="K25" s="1763"/>
      <c r="L25" s="949"/>
      <c r="M25" s="949"/>
      <c r="N25" s="949"/>
      <c r="O25" s="1761" t="s">
        <v>10</v>
      </c>
      <c r="P25" s="1763"/>
      <c r="Q25" s="949"/>
      <c r="R25" s="949"/>
      <c r="S25" s="949"/>
      <c r="T25" s="1761"/>
      <c r="U25" s="1764"/>
      <c r="V25" s="949"/>
      <c r="W25" s="949"/>
      <c r="X25" s="949"/>
      <c r="Y25" s="1739"/>
      <c r="Z25" s="1740"/>
      <c r="AA25" s="1740"/>
      <c r="AB25" s="1740"/>
      <c r="AC25" s="1740"/>
      <c r="AD25" s="1740"/>
      <c r="AE25" s="1740"/>
      <c r="AF25" s="1740"/>
      <c r="AG25" s="1740"/>
      <c r="AH25" s="1740"/>
      <c r="AI25" s="1741"/>
      <c r="AJ25" s="1745"/>
      <c r="AK25" s="1746"/>
      <c r="AL25" s="1746"/>
      <c r="AM25" s="1746"/>
      <c r="AN25" s="1746"/>
      <c r="AO25" s="1746"/>
      <c r="AP25" s="1746"/>
      <c r="AQ25" s="1746"/>
      <c r="AR25" s="1746"/>
      <c r="AS25" s="1746"/>
      <c r="AT25" s="1746"/>
      <c r="AU25" s="1746"/>
      <c r="AV25" s="1746"/>
      <c r="AW25" s="1746"/>
      <c r="AX25" s="1746"/>
      <c r="AY25" s="1746"/>
      <c r="AZ25" s="1746"/>
      <c r="BA25" s="1746"/>
      <c r="BB25" s="1746"/>
      <c r="BC25" s="1746"/>
      <c r="BD25" s="1747"/>
      <c r="BE25" s="948"/>
      <c r="BF25" s="948"/>
      <c r="BG25" s="948"/>
      <c r="BH25" s="1793"/>
      <c r="BI25" s="1794"/>
      <c r="BJ25" s="1794"/>
      <c r="BK25" s="1794"/>
      <c r="BL25" s="1794"/>
      <c r="BM25" s="1794"/>
      <c r="BN25" s="1794"/>
      <c r="BO25" s="1794"/>
      <c r="BP25" s="1794"/>
      <c r="BQ25" s="1794"/>
      <c r="BR25" s="1794"/>
      <c r="BS25" s="1794"/>
      <c r="BT25" s="1794"/>
      <c r="BU25" s="1794"/>
      <c r="BV25" s="1794"/>
      <c r="BW25" s="1794"/>
      <c r="BX25" s="1794"/>
      <c r="BY25" s="1794"/>
      <c r="BZ25" s="1794"/>
      <c r="CA25" s="1794"/>
      <c r="CB25" s="1794"/>
      <c r="CC25" s="1794"/>
      <c r="CD25" s="1794"/>
      <c r="CE25" s="1794"/>
      <c r="CF25" s="1794"/>
      <c r="CG25" s="1794"/>
      <c r="CH25" s="1794"/>
      <c r="CI25" s="1794"/>
      <c r="CJ25" s="1794"/>
      <c r="CK25" s="1794"/>
      <c r="CL25" s="1794"/>
      <c r="CM25" s="1794"/>
      <c r="CN25" s="1795"/>
      <c r="CO25" s="59"/>
      <c r="CP25" s="59"/>
      <c r="CQ25" s="59"/>
      <c r="CR25" s="59"/>
      <c r="CS25" s="59"/>
      <c r="CT25" s="3"/>
      <c r="CU25" s="3"/>
      <c r="CV25" s="59"/>
      <c r="CW25" s="59"/>
      <c r="CX25" s="59"/>
      <c r="CY25" s="59"/>
      <c r="CZ25" s="3"/>
    </row>
    <row r="26" spans="1:114" ht="25.5">
      <c r="A26" s="1713" t="s">
        <v>105</v>
      </c>
      <c r="B26" s="1713"/>
      <c r="C26" s="1713"/>
      <c r="D26" s="1713"/>
      <c r="E26" s="1713"/>
      <c r="F26" s="1713"/>
      <c r="G26" s="1713"/>
      <c r="H26" s="1713"/>
      <c r="I26" s="1713"/>
      <c r="J26" s="1713"/>
      <c r="K26" s="1713"/>
      <c r="L26" s="1713"/>
      <c r="M26" s="1713"/>
      <c r="N26" s="1713"/>
      <c r="O26" s="1713"/>
      <c r="P26" s="1713"/>
      <c r="Q26" s="1713"/>
      <c r="R26" s="1713"/>
      <c r="S26" s="1713"/>
      <c r="T26" s="1713"/>
      <c r="U26" s="1713"/>
      <c r="V26" s="1713"/>
      <c r="W26" s="1713"/>
      <c r="X26" s="1713"/>
      <c r="Y26" s="1713"/>
      <c r="Z26" s="1713"/>
      <c r="AA26" s="1713"/>
      <c r="AB26" s="1713"/>
      <c r="AC26" s="1713"/>
      <c r="AD26" s="1713"/>
      <c r="AE26" s="1713"/>
      <c r="AF26" s="1713"/>
      <c r="AG26" s="1713"/>
      <c r="AH26" s="1713"/>
      <c r="AI26" s="1713"/>
      <c r="AJ26" s="1713"/>
      <c r="AK26" s="1713"/>
      <c r="AL26" s="1713"/>
      <c r="AM26" s="1713"/>
      <c r="AN26" s="1713"/>
      <c r="AO26" s="1713"/>
      <c r="AP26" s="1713"/>
      <c r="AQ26" s="1713"/>
      <c r="AR26" s="1713"/>
      <c r="AS26" s="1713"/>
      <c r="AT26" s="1713"/>
      <c r="AU26" s="1713"/>
      <c r="AV26" s="1713"/>
      <c r="AW26" s="1713"/>
      <c r="AX26" s="1713"/>
      <c r="AY26" s="1713"/>
      <c r="AZ26" s="1713"/>
      <c r="BA26" s="1713"/>
      <c r="BB26" s="1713"/>
      <c r="BC26" s="1713"/>
      <c r="BD26" s="1713"/>
      <c r="BE26" s="1713"/>
      <c r="BF26" s="1713"/>
      <c r="BG26" s="1713"/>
      <c r="BH26" s="1713"/>
      <c r="BI26" s="1713"/>
      <c r="BJ26" s="1713"/>
      <c r="BK26" s="1713"/>
      <c r="BL26" s="1713"/>
      <c r="BM26" s="1713"/>
      <c r="BN26" s="1713"/>
      <c r="BO26" s="1713"/>
      <c r="BP26" s="1713"/>
      <c r="BQ26" s="1713"/>
      <c r="BR26" s="1713"/>
      <c r="BS26" s="1713"/>
      <c r="BT26" s="1713"/>
      <c r="BU26" s="1713"/>
      <c r="BV26" s="1713"/>
      <c r="BW26" s="1713"/>
      <c r="BX26" s="1713"/>
      <c r="BY26" s="1713"/>
      <c r="BZ26" s="1713"/>
      <c r="CA26" s="1713"/>
      <c r="CB26" s="1713"/>
      <c r="CC26" s="1713"/>
      <c r="CD26" s="1713"/>
      <c r="CE26" s="1713"/>
      <c r="CF26" s="1713"/>
      <c r="CG26" s="1713"/>
      <c r="CH26" s="1713"/>
      <c r="CI26" s="1713"/>
      <c r="CJ26" s="1713"/>
      <c r="CK26" s="1713"/>
      <c r="CL26" s="1713"/>
      <c r="CM26" s="1713"/>
      <c r="CN26" s="1713"/>
      <c r="CO26" s="231"/>
      <c r="CP26" s="231"/>
      <c r="CQ26" s="231"/>
      <c r="CR26" s="231"/>
      <c r="CS26" s="231"/>
      <c r="CT26" s="231"/>
      <c r="CU26" s="3"/>
      <c r="CV26" s="231"/>
      <c r="CW26" s="231"/>
      <c r="CX26" s="231"/>
      <c r="CY26" s="231"/>
      <c r="CZ26" s="3"/>
      <c r="DA26" s="3"/>
    </row>
    <row r="27" spans="1:114" ht="15.75" customHeight="1">
      <c r="A27" s="1"/>
      <c r="B27" s="2"/>
      <c r="C27" s="233"/>
      <c r="D27" s="234" t="s">
        <v>106</v>
      </c>
      <c r="E27" s="235" t="s">
        <v>357</v>
      </c>
      <c r="F27" s="235"/>
      <c r="G27" s="233"/>
      <c r="H27" s="233"/>
      <c r="I27" s="233"/>
      <c r="J27" s="233"/>
      <c r="K27" s="233"/>
      <c r="L27" s="233"/>
      <c r="M27" s="233"/>
      <c r="N27" s="233"/>
      <c r="O27" s="236"/>
      <c r="P27" s="236"/>
      <c r="Q27" s="233"/>
      <c r="R27" s="233"/>
      <c r="S27" s="233"/>
      <c r="T27" s="236"/>
      <c r="U27" s="236"/>
      <c r="V27" s="233"/>
      <c r="W27" s="233"/>
      <c r="X27" s="233"/>
      <c r="Y27" s="236"/>
      <c r="Z27" s="236"/>
      <c r="AA27" s="233"/>
      <c r="AB27" s="233"/>
      <c r="AC27" s="233"/>
      <c r="AD27" s="236"/>
      <c r="AE27" s="236"/>
      <c r="AF27" s="233"/>
      <c r="AG27" s="233"/>
      <c r="AH27" s="233"/>
      <c r="AI27" s="236"/>
      <c r="AJ27" s="236"/>
      <c r="AK27" s="233"/>
      <c r="AL27" s="233"/>
      <c r="AM27" s="233"/>
      <c r="AN27" s="236"/>
      <c r="AO27" s="236"/>
      <c r="AP27" s="233"/>
      <c r="AQ27" s="233"/>
      <c r="AR27" s="233"/>
      <c r="AS27" s="60"/>
      <c r="AT27" s="60"/>
      <c r="AU27" s="233"/>
      <c r="AV27" s="233"/>
      <c r="AW27" s="233"/>
      <c r="AX27" s="60"/>
      <c r="AY27" s="60"/>
      <c r="AZ27" s="233"/>
      <c r="BA27" s="233"/>
      <c r="BB27" s="233"/>
      <c r="BE27" s="233"/>
      <c r="BF27" s="233"/>
      <c r="BG27" s="233"/>
      <c r="BJ27" s="233"/>
      <c r="BK27" s="233"/>
      <c r="BL27" s="233"/>
      <c r="BO27" s="233"/>
      <c r="BP27" s="233"/>
      <c r="BQ27" s="233"/>
      <c r="BR27" s="60"/>
      <c r="BS27" s="60"/>
      <c r="BT27" s="233"/>
      <c r="BU27" s="233"/>
      <c r="BV27" s="233"/>
      <c r="BW27" s="60"/>
      <c r="BY27" s="233"/>
      <c r="BZ27" s="233"/>
      <c r="CA27" s="233"/>
      <c r="CB27" s="60"/>
      <c r="CD27" s="233"/>
      <c r="CE27" s="233"/>
      <c r="CF27" s="233"/>
      <c r="CG27" s="60"/>
      <c r="CJ27" s="233"/>
      <c r="CK27" s="233"/>
      <c r="CL27" s="233"/>
      <c r="CM27" s="60"/>
      <c r="CP27" s="233"/>
      <c r="CQ27" s="233"/>
      <c r="CR27" s="233"/>
      <c r="CS27" s="60"/>
      <c r="CT27" s="59"/>
      <c r="CU27" s="3"/>
      <c r="CV27" s="233"/>
      <c r="CW27" s="233"/>
      <c r="CX27" s="233"/>
      <c r="CY27" s="60"/>
      <c r="CZ27" s="3"/>
      <c r="DA27" s="3"/>
    </row>
    <row r="28" spans="1:114" ht="15.75" customHeight="1">
      <c r="A28" s="1"/>
      <c r="B28" s="2"/>
      <c r="C28" s="233"/>
      <c r="D28" s="234" t="s">
        <v>107</v>
      </c>
      <c r="E28" s="237" t="s">
        <v>360</v>
      </c>
      <c r="F28" s="235"/>
      <c r="G28" s="233"/>
      <c r="H28" s="233"/>
      <c r="I28" s="233"/>
      <c r="J28" s="233"/>
      <c r="K28" s="233"/>
      <c r="L28" s="233"/>
      <c r="M28" s="233"/>
      <c r="N28" s="233"/>
      <c r="O28" s="236"/>
      <c r="P28" s="236"/>
      <c r="Q28" s="233"/>
      <c r="R28" s="233"/>
      <c r="S28" s="233"/>
      <c r="T28" s="236"/>
      <c r="U28" s="236"/>
      <c r="V28" s="233"/>
      <c r="W28" s="233"/>
      <c r="X28" s="233"/>
      <c r="Y28" s="236"/>
      <c r="Z28" s="236"/>
      <c r="AA28" s="233"/>
      <c r="AB28" s="233"/>
      <c r="AC28" s="233"/>
      <c r="AD28" s="236"/>
      <c r="AE28" s="236"/>
      <c r="AF28" s="233"/>
      <c r="AG28" s="233"/>
      <c r="AH28" s="233"/>
      <c r="AI28" s="236"/>
      <c r="AJ28" s="236"/>
      <c r="AK28" s="233"/>
      <c r="AL28" s="233"/>
      <c r="AM28" s="233"/>
      <c r="AN28" s="236"/>
      <c r="AO28" s="236"/>
      <c r="AP28" s="233"/>
      <c r="AQ28" s="233"/>
      <c r="AR28" s="233"/>
      <c r="AS28" s="60"/>
      <c r="AT28" s="60"/>
      <c r="AU28" s="233"/>
      <c r="AV28" s="233"/>
      <c r="AW28" s="233"/>
      <c r="AX28" s="60"/>
      <c r="AY28" s="60"/>
      <c r="AZ28" s="233"/>
      <c r="BA28" s="233"/>
      <c r="BB28" s="233"/>
      <c r="BE28" s="233"/>
      <c r="BF28" s="233"/>
      <c r="BG28" s="233"/>
      <c r="BH28" s="192"/>
      <c r="BJ28" s="233"/>
      <c r="BK28" s="233"/>
      <c r="BL28" s="233"/>
      <c r="BN28" s="60"/>
      <c r="BO28" s="233"/>
      <c r="BP28" s="233"/>
      <c r="BQ28" s="233"/>
      <c r="BR28" s="125"/>
      <c r="BS28" s="125"/>
      <c r="BT28" s="233"/>
      <c r="BU28" s="233"/>
      <c r="BV28" s="233"/>
      <c r="BW28" s="125"/>
      <c r="BX28" s="60"/>
      <c r="BY28" s="233"/>
      <c r="BZ28" s="233"/>
      <c r="CA28" s="233"/>
      <c r="CB28" s="60"/>
      <c r="CD28" s="233"/>
      <c r="CE28" s="233"/>
      <c r="CF28" s="233"/>
      <c r="CG28" s="60"/>
      <c r="CJ28" s="233"/>
      <c r="CK28" s="233"/>
      <c r="CL28" s="233"/>
      <c r="CM28" s="60"/>
      <c r="CP28" s="233"/>
      <c r="CQ28" s="233"/>
      <c r="CR28" s="233"/>
      <c r="CS28" s="60"/>
      <c r="CT28" s="59"/>
      <c r="CU28" s="3"/>
      <c r="CV28" s="233"/>
      <c r="CW28" s="233"/>
      <c r="CX28" s="233"/>
      <c r="CY28" s="60"/>
      <c r="CZ28" s="3"/>
      <c r="DA28" s="3"/>
    </row>
    <row r="29" spans="1:114" ht="15.75" customHeight="1">
      <c r="A29" s="1"/>
      <c r="B29" s="85"/>
      <c r="C29" s="85"/>
      <c r="D29" s="85"/>
      <c r="E29" s="86" t="s">
        <v>108</v>
      </c>
      <c r="G29" s="238" t="s">
        <v>355</v>
      </c>
      <c r="H29" s="87"/>
      <c r="I29" s="87"/>
      <c r="J29" s="87"/>
      <c r="K29" s="87"/>
      <c r="L29" s="957"/>
      <c r="M29" s="957"/>
      <c r="N29" s="957"/>
      <c r="O29" s="88"/>
      <c r="P29" s="88"/>
      <c r="Q29" s="957"/>
      <c r="R29" s="957"/>
      <c r="S29" s="957"/>
      <c r="T29" s="88"/>
      <c r="U29" s="88"/>
      <c r="V29" s="957"/>
      <c r="W29" s="957"/>
      <c r="X29" s="957"/>
      <c r="Y29" s="88"/>
      <c r="Z29" s="88"/>
      <c r="AA29" s="957"/>
      <c r="AB29" s="957"/>
      <c r="AC29" s="957"/>
      <c r="AD29" s="88"/>
      <c r="AE29" s="88"/>
      <c r="AF29" s="957"/>
      <c r="AG29" s="957"/>
      <c r="AH29" s="957"/>
      <c r="AI29" s="88"/>
      <c r="AJ29" s="88"/>
      <c r="AK29" s="957"/>
      <c r="AL29" s="957"/>
      <c r="AM29" s="957"/>
      <c r="AN29" s="88"/>
      <c r="AO29" s="88"/>
      <c r="AP29" s="957"/>
      <c r="AQ29" s="957"/>
      <c r="AR29" s="957"/>
      <c r="AS29" s="88"/>
      <c r="AT29" s="88"/>
      <c r="AU29" s="957"/>
      <c r="AV29" s="957"/>
      <c r="AW29" s="957"/>
      <c r="AX29" s="88"/>
      <c r="AY29" s="88"/>
      <c r="AZ29" s="957"/>
      <c r="BA29" s="957"/>
      <c r="BB29" s="957"/>
      <c r="BC29" s="88"/>
      <c r="BD29" s="88"/>
      <c r="BE29" s="957"/>
      <c r="BF29" s="957"/>
      <c r="BG29" s="957"/>
      <c r="BH29" s="88"/>
      <c r="BI29" s="88"/>
      <c r="BJ29" s="957"/>
      <c r="BK29" s="957"/>
      <c r="BL29" s="957"/>
      <c r="BM29" s="88"/>
      <c r="BN29" s="88"/>
      <c r="BO29" s="957"/>
      <c r="BP29" s="957"/>
      <c r="BQ29" s="957"/>
      <c r="BR29" s="88"/>
      <c r="BS29" s="839"/>
      <c r="BT29" s="957"/>
      <c r="BU29" s="957"/>
      <c r="BV29" s="957"/>
      <c r="BW29" s="839"/>
      <c r="BX29" s="88"/>
      <c r="BY29" s="957"/>
      <c r="BZ29" s="957"/>
      <c r="CA29" s="957"/>
      <c r="CB29" s="88"/>
      <c r="CC29" s="239"/>
      <c r="CD29" s="957"/>
      <c r="CE29" s="957"/>
      <c r="CF29" s="957"/>
      <c r="CG29" s="88"/>
      <c r="CH29" s="240"/>
      <c r="CI29" s="240"/>
      <c r="CJ29" s="957"/>
      <c r="CK29" s="957"/>
      <c r="CL29" s="957"/>
      <c r="CM29" s="839"/>
      <c r="CN29" s="965"/>
      <c r="CO29" s="965"/>
      <c r="CP29" s="957"/>
      <c r="CQ29" s="957"/>
      <c r="CR29" s="957"/>
      <c r="CS29" s="839"/>
      <c r="CT29" s="839"/>
      <c r="CU29" s="966"/>
      <c r="CV29" s="957"/>
      <c r="CW29" s="957"/>
      <c r="CX29" s="957"/>
      <c r="CY29" s="839"/>
      <c r="CZ29" s="3"/>
      <c r="DA29" s="3"/>
    </row>
    <row r="30" spans="1:114" ht="6" customHeight="1" thickBot="1">
      <c r="A30" s="1"/>
      <c r="B30" s="85"/>
      <c r="C30" s="85"/>
      <c r="D30" s="85"/>
      <c r="E30" s="86"/>
      <c r="G30" s="238"/>
      <c r="H30" s="85"/>
      <c r="I30" s="85"/>
      <c r="J30" s="85"/>
      <c r="K30" s="85"/>
      <c r="L30" s="85"/>
      <c r="M30" s="85"/>
      <c r="N30" s="85"/>
      <c r="O30" s="89"/>
      <c r="P30" s="89"/>
      <c r="Q30" s="85"/>
      <c r="R30" s="85"/>
      <c r="S30" s="85"/>
      <c r="T30" s="89"/>
      <c r="U30" s="89"/>
      <c r="V30" s="85"/>
      <c r="W30" s="85"/>
      <c r="X30" s="85"/>
      <c r="Y30" s="89"/>
      <c r="Z30" s="89"/>
      <c r="AA30" s="85"/>
      <c r="AB30" s="85"/>
      <c r="AC30" s="85"/>
      <c r="AD30" s="89"/>
      <c r="AE30" s="89"/>
      <c r="AF30" s="85"/>
      <c r="AG30" s="85"/>
      <c r="AH30" s="85"/>
      <c r="AI30" s="89"/>
      <c r="AJ30" s="89"/>
      <c r="AK30" s="85"/>
      <c r="AL30" s="85"/>
      <c r="AM30" s="85"/>
      <c r="AN30" s="89"/>
      <c r="AO30" s="89"/>
      <c r="AP30" s="85"/>
      <c r="AQ30" s="85"/>
      <c r="AR30" s="85"/>
      <c r="AS30" s="89"/>
      <c r="AT30" s="89"/>
      <c r="AU30" s="85"/>
      <c r="AV30" s="85"/>
      <c r="AW30" s="85"/>
      <c r="AX30" s="89"/>
      <c r="AY30" s="89"/>
      <c r="AZ30" s="85"/>
      <c r="BA30" s="85"/>
      <c r="BB30" s="85"/>
      <c r="BC30" s="89"/>
      <c r="BD30" s="89"/>
      <c r="BE30" s="85"/>
      <c r="BF30" s="85"/>
      <c r="BG30" s="85"/>
      <c r="BH30" s="89"/>
      <c r="BI30" s="89"/>
      <c r="BJ30" s="85"/>
      <c r="BK30" s="85"/>
      <c r="BL30" s="85"/>
      <c r="BM30" s="89"/>
      <c r="BN30" s="89"/>
      <c r="BO30" s="85"/>
      <c r="BP30" s="85"/>
      <c r="BQ30" s="85"/>
      <c r="BR30" s="89"/>
      <c r="BS30" s="89"/>
      <c r="BT30" s="85"/>
      <c r="BU30" s="85"/>
      <c r="BV30" s="85"/>
      <c r="BW30" s="89"/>
      <c r="BX30" s="89"/>
      <c r="BY30" s="85"/>
      <c r="BZ30" s="85"/>
      <c r="CA30" s="85"/>
      <c r="CB30" s="89"/>
      <c r="CC30" s="317"/>
      <c r="CD30" s="85"/>
      <c r="CE30" s="85"/>
      <c r="CF30" s="85"/>
      <c r="CG30" s="89"/>
      <c r="CH30" s="318"/>
      <c r="CI30" s="318"/>
      <c r="CJ30" s="85"/>
      <c r="CK30" s="85"/>
      <c r="CL30" s="85"/>
      <c r="CM30" s="89"/>
      <c r="CN30" s="318"/>
      <c r="CO30" s="318"/>
      <c r="CP30" s="85"/>
      <c r="CQ30" s="85"/>
      <c r="CR30" s="85"/>
      <c r="CS30" s="89"/>
      <c r="CT30" s="89"/>
      <c r="CU30" s="3"/>
      <c r="CV30" s="85"/>
      <c r="CW30" s="85"/>
      <c r="CX30" s="85"/>
      <c r="CY30" s="89"/>
      <c r="CZ30" s="3"/>
      <c r="DA30" s="3"/>
    </row>
    <row r="31" spans="1:114" ht="21" customHeight="1" thickBot="1">
      <c r="A31" s="1714" t="s">
        <v>0</v>
      </c>
      <c r="B31" s="1709" t="s">
        <v>82</v>
      </c>
      <c r="C31" s="1716" t="s">
        <v>9</v>
      </c>
      <c r="D31" s="1716"/>
      <c r="E31" s="1718" t="s">
        <v>230</v>
      </c>
      <c r="F31" s="1720" t="s">
        <v>6</v>
      </c>
      <c r="G31" s="1722" t="s">
        <v>83</v>
      </c>
      <c r="H31" s="1822" t="s">
        <v>7</v>
      </c>
      <c r="I31" s="1829" t="s">
        <v>1145</v>
      </c>
      <c r="J31" s="1828"/>
      <c r="K31" s="1829" t="s">
        <v>1146</v>
      </c>
      <c r="L31" s="1828"/>
      <c r="M31" s="1829" t="s">
        <v>1147</v>
      </c>
      <c r="N31" s="1828"/>
      <c r="O31" s="1827" t="s">
        <v>1148</v>
      </c>
      <c r="P31" s="1828"/>
      <c r="Q31" s="1712" t="s">
        <v>84</v>
      </c>
      <c r="R31" s="1712"/>
      <c r="S31" s="1712"/>
      <c r="T31" s="1712"/>
      <c r="U31" s="1712"/>
      <c r="V31" s="1712"/>
      <c r="W31" s="1712"/>
      <c r="X31" s="1712"/>
      <c r="Y31" s="1712"/>
      <c r="Z31" s="1782"/>
      <c r="AA31" s="1711" t="s">
        <v>85</v>
      </c>
      <c r="AB31" s="1712"/>
      <c r="AC31" s="1712"/>
      <c r="AD31" s="1712"/>
      <c r="AE31" s="1712"/>
      <c r="AF31" s="1712"/>
      <c r="AG31" s="1712"/>
      <c r="AH31" s="1712"/>
      <c r="AI31" s="1712"/>
      <c r="AJ31" s="1712"/>
      <c r="AK31" s="1712"/>
      <c r="AL31" s="1712"/>
      <c r="AM31" s="1712"/>
      <c r="AN31" s="1712"/>
      <c r="AO31" s="1712"/>
      <c r="AP31" s="1712"/>
      <c r="AQ31" s="1712"/>
      <c r="AR31" s="1712"/>
      <c r="AS31" s="1712"/>
      <c r="AT31" s="1712"/>
      <c r="AU31" s="1712"/>
      <c r="AV31" s="1712"/>
      <c r="AW31" s="1712"/>
      <c r="AX31" s="1712"/>
      <c r="AY31" s="1712"/>
      <c r="AZ31" s="1712"/>
      <c r="BA31" s="1712"/>
      <c r="BB31" s="1712"/>
      <c r="BC31" s="1712"/>
      <c r="BD31" s="1782"/>
      <c r="BE31" s="1712" t="s">
        <v>86</v>
      </c>
      <c r="BF31" s="1712"/>
      <c r="BG31" s="1712"/>
      <c r="BH31" s="1712"/>
      <c r="BI31" s="1712"/>
      <c r="BJ31" s="1712"/>
      <c r="BK31" s="1712"/>
      <c r="BL31" s="1712"/>
      <c r="BM31" s="1712"/>
      <c r="BN31" s="1782"/>
      <c r="BO31" s="1824" t="s">
        <v>87</v>
      </c>
      <c r="BP31" s="1825"/>
      <c r="BQ31" s="1825"/>
      <c r="BR31" s="1825"/>
      <c r="BS31" s="1825"/>
      <c r="BT31" s="1825"/>
      <c r="BU31" s="1825"/>
      <c r="BV31" s="1825"/>
      <c r="BW31" s="1825"/>
      <c r="BX31" s="1825"/>
      <c r="BY31" s="1825"/>
      <c r="BZ31" s="1825"/>
      <c r="CA31" s="1825"/>
      <c r="CB31" s="1825"/>
      <c r="CC31" s="1825"/>
      <c r="CD31" s="1825"/>
      <c r="CE31" s="1825"/>
      <c r="CF31" s="1825"/>
      <c r="CG31" s="1825"/>
      <c r="CH31" s="1826"/>
      <c r="CI31" s="1730" t="s">
        <v>88</v>
      </c>
      <c r="CJ31" s="1785"/>
      <c r="CK31" s="1785"/>
      <c r="CL31" s="1785"/>
      <c r="CM31" s="1785"/>
      <c r="CN31" s="1785"/>
      <c r="CO31" s="1785"/>
      <c r="CP31" s="1785"/>
      <c r="CQ31" s="1785"/>
      <c r="CR31" s="1785"/>
      <c r="CS31" s="1785"/>
      <c r="CT31" s="1785"/>
      <c r="CU31" s="1785"/>
      <c r="CV31" s="1785"/>
      <c r="CW31" s="1785"/>
      <c r="CX31" s="1785"/>
      <c r="CY31" s="1785"/>
      <c r="CZ31" s="1785"/>
      <c r="DA31" s="1785"/>
      <c r="DB31" s="1785"/>
      <c r="DC31" s="1785"/>
      <c r="DD31" s="1785"/>
      <c r="DE31" s="1785"/>
      <c r="DF31" s="1731"/>
      <c r="DG31" s="91"/>
      <c r="DH31" s="9" t="s">
        <v>18</v>
      </c>
      <c r="DI31" s="9" t="s">
        <v>53</v>
      </c>
      <c r="DJ31" s="10" t="s">
        <v>109</v>
      </c>
    </row>
    <row r="32" spans="1:114" ht="36.75" customHeight="1" thickBot="1">
      <c r="A32" s="1812"/>
      <c r="B32" s="1819"/>
      <c r="C32" s="1796"/>
      <c r="D32" s="1796"/>
      <c r="E32" s="1813"/>
      <c r="F32" s="1820"/>
      <c r="G32" s="1821"/>
      <c r="H32" s="1823"/>
      <c r="I32" s="955" t="s">
        <v>225</v>
      </c>
      <c r="J32" s="954" t="s">
        <v>225</v>
      </c>
      <c r="K32" s="955" t="s">
        <v>225</v>
      </c>
      <c r="L32" s="954" t="s">
        <v>225</v>
      </c>
      <c r="M32" s="955" t="s">
        <v>109</v>
      </c>
      <c r="N32" s="954" t="s">
        <v>109</v>
      </c>
      <c r="O32" s="979" t="s">
        <v>109</v>
      </c>
      <c r="P32" s="954" t="s">
        <v>109</v>
      </c>
      <c r="Q32" s="980" t="s">
        <v>89</v>
      </c>
      <c r="R32" s="981" t="s">
        <v>1136</v>
      </c>
      <c r="S32" s="981" t="s">
        <v>1137</v>
      </c>
      <c r="T32" s="981" t="s">
        <v>1138</v>
      </c>
      <c r="U32" s="981" t="s">
        <v>1139</v>
      </c>
      <c r="V32" s="473" t="s">
        <v>90</v>
      </c>
      <c r="W32" s="981" t="s">
        <v>1136</v>
      </c>
      <c r="X32" s="981" t="s">
        <v>1137</v>
      </c>
      <c r="Y32" s="981" t="s">
        <v>1138</v>
      </c>
      <c r="Z32" s="982" t="s">
        <v>1139</v>
      </c>
      <c r="AA32" s="478" t="s">
        <v>90</v>
      </c>
      <c r="AB32" s="983" t="s">
        <v>1136</v>
      </c>
      <c r="AC32" s="983" t="s">
        <v>1137</v>
      </c>
      <c r="AD32" s="983" t="s">
        <v>1138</v>
      </c>
      <c r="AE32" s="983" t="s">
        <v>1139</v>
      </c>
      <c r="AF32" s="476" t="s">
        <v>91</v>
      </c>
      <c r="AG32" s="983" t="s">
        <v>1136</v>
      </c>
      <c r="AH32" s="983" t="s">
        <v>1137</v>
      </c>
      <c r="AI32" s="983" t="s">
        <v>1138</v>
      </c>
      <c r="AJ32" s="983" t="s">
        <v>1139</v>
      </c>
      <c r="AK32" s="476" t="s">
        <v>92</v>
      </c>
      <c r="AL32" s="983" t="s">
        <v>1136</v>
      </c>
      <c r="AM32" s="983" t="s">
        <v>1137</v>
      </c>
      <c r="AN32" s="983" t="s">
        <v>1138</v>
      </c>
      <c r="AO32" s="983" t="s">
        <v>1139</v>
      </c>
      <c r="AP32" s="476" t="s">
        <v>93</v>
      </c>
      <c r="AQ32" s="983" t="s">
        <v>1136</v>
      </c>
      <c r="AR32" s="983" t="s">
        <v>1137</v>
      </c>
      <c r="AS32" s="983" t="s">
        <v>1138</v>
      </c>
      <c r="AT32" s="983" t="s">
        <v>1139</v>
      </c>
      <c r="AU32" s="476" t="s">
        <v>94</v>
      </c>
      <c r="AV32" s="983" t="s">
        <v>1136</v>
      </c>
      <c r="AW32" s="983" t="s">
        <v>1137</v>
      </c>
      <c r="AX32" s="983" t="s">
        <v>1138</v>
      </c>
      <c r="AY32" s="983" t="s">
        <v>1139</v>
      </c>
      <c r="AZ32" s="476" t="s">
        <v>95</v>
      </c>
      <c r="BA32" s="983" t="s">
        <v>1136</v>
      </c>
      <c r="BB32" s="983" t="s">
        <v>1137</v>
      </c>
      <c r="BC32" s="983" t="s">
        <v>1138</v>
      </c>
      <c r="BD32" s="984" t="s">
        <v>1139</v>
      </c>
      <c r="BE32" s="475" t="s">
        <v>91</v>
      </c>
      <c r="BF32" s="981" t="s">
        <v>1136</v>
      </c>
      <c r="BG32" s="981" t="s">
        <v>1137</v>
      </c>
      <c r="BH32" s="981" t="s">
        <v>1138</v>
      </c>
      <c r="BI32" s="981" t="s">
        <v>1139</v>
      </c>
      <c r="BJ32" s="476" t="s">
        <v>93</v>
      </c>
      <c r="BK32" s="981" t="s">
        <v>1136</v>
      </c>
      <c r="BL32" s="981" t="s">
        <v>1137</v>
      </c>
      <c r="BM32" s="981" t="s">
        <v>1138</v>
      </c>
      <c r="BN32" s="981" t="s">
        <v>1139</v>
      </c>
      <c r="BO32" s="418" t="s">
        <v>90</v>
      </c>
      <c r="BP32" s="967" t="s">
        <v>1136</v>
      </c>
      <c r="BQ32" s="967" t="s">
        <v>1137</v>
      </c>
      <c r="BR32" s="967" t="s">
        <v>1138</v>
      </c>
      <c r="BS32" s="967" t="s">
        <v>1139</v>
      </c>
      <c r="BT32" s="414" t="s">
        <v>91</v>
      </c>
      <c r="BU32" s="967" t="s">
        <v>1136</v>
      </c>
      <c r="BV32" s="967" t="s">
        <v>1137</v>
      </c>
      <c r="BW32" s="967" t="s">
        <v>1138</v>
      </c>
      <c r="BX32" s="967" t="s">
        <v>1139</v>
      </c>
      <c r="BY32" s="414" t="s">
        <v>92</v>
      </c>
      <c r="BZ32" s="967" t="s">
        <v>1136</v>
      </c>
      <c r="CA32" s="967" t="s">
        <v>1137</v>
      </c>
      <c r="CB32" s="967" t="s">
        <v>1138</v>
      </c>
      <c r="CC32" s="967" t="s">
        <v>1139</v>
      </c>
      <c r="CD32" s="414" t="s">
        <v>93</v>
      </c>
      <c r="CE32" s="967" t="s">
        <v>1136</v>
      </c>
      <c r="CF32" s="967" t="s">
        <v>1137</v>
      </c>
      <c r="CG32" s="967" t="s">
        <v>1138</v>
      </c>
      <c r="CH32" s="968" t="s">
        <v>1139</v>
      </c>
      <c r="CI32" s="848" t="s">
        <v>1058</v>
      </c>
      <c r="CJ32" s="981" t="s">
        <v>1136</v>
      </c>
      <c r="CK32" s="981" t="s">
        <v>1137</v>
      </c>
      <c r="CL32" s="981" t="s">
        <v>1138</v>
      </c>
      <c r="CM32" s="982" t="s">
        <v>1139</v>
      </c>
      <c r="CN32" s="985" t="s">
        <v>338</v>
      </c>
      <c r="CO32" s="480" t="s">
        <v>96</v>
      </c>
      <c r="CP32" s="981" t="s">
        <v>1136</v>
      </c>
      <c r="CQ32" s="981" t="s">
        <v>1137</v>
      </c>
      <c r="CR32" s="981" t="s">
        <v>1138</v>
      </c>
      <c r="CS32" s="982" t="s">
        <v>1139</v>
      </c>
      <c r="CT32" s="985" t="s">
        <v>338</v>
      </c>
      <c r="CU32" s="848" t="s">
        <v>1135</v>
      </c>
      <c r="CV32" s="981" t="s">
        <v>1136</v>
      </c>
      <c r="CW32" s="981" t="s">
        <v>1137</v>
      </c>
      <c r="CX32" s="981" t="s">
        <v>1138</v>
      </c>
      <c r="CY32" s="982" t="s">
        <v>1139</v>
      </c>
      <c r="CZ32" s="985" t="s">
        <v>338</v>
      </c>
      <c r="DA32" s="480" t="s">
        <v>97</v>
      </c>
      <c r="DB32" s="981" t="s">
        <v>1136</v>
      </c>
      <c r="DC32" s="981" t="s">
        <v>1137</v>
      </c>
      <c r="DD32" s="981" t="s">
        <v>1138</v>
      </c>
      <c r="DE32" s="982" t="s">
        <v>1139</v>
      </c>
      <c r="DF32" s="985" t="s">
        <v>338</v>
      </c>
      <c r="DG32" s="56"/>
      <c r="DH32" s="10" t="e">
        <f>SUMIFS(#REF!,#REF!,$B32,#REF!,$D32,#REF!,$F32)</f>
        <v>#REF!</v>
      </c>
      <c r="DI32" s="29" t="e">
        <f>COUNTIFS(#REF!,$B32,#REF!,$D32,#REF!,$F32,#REF!,"&gt;=0")</f>
        <v>#REF!</v>
      </c>
      <c r="DJ32" s="10" t="e">
        <f>COUNTIFS(#REF!,$B32,#REF!,$D32,#REF!,$F32,#REF!,"лично")</f>
        <v>#REF!</v>
      </c>
    </row>
    <row r="33" spans="1:115" ht="12" customHeight="1">
      <c r="A33" s="92">
        <v>1</v>
      </c>
      <c r="B33" s="952" t="s">
        <v>1</v>
      </c>
      <c r="C33" s="244" t="s">
        <v>161</v>
      </c>
      <c r="D33" s="374"/>
      <c r="E33" s="382"/>
      <c r="F33" s="987" t="str">
        <f t="shared" ref="F33:F82" si="0">$E$28</f>
        <v>Сокращенное название</v>
      </c>
      <c r="G33" s="246" t="s">
        <v>325</v>
      </c>
      <c r="H33" s="468" t="str">
        <f>E88</f>
        <v>Фамилия_1 Имя Отчество</v>
      </c>
      <c r="I33" s="247">
        <f t="shared" ref="I33:K33" si="1">COUNTIF(N33:CA33,"&gt;1")-M33</f>
        <v>0</v>
      </c>
      <c r="J33" s="988">
        <f t="shared" si="1"/>
        <v>0</v>
      </c>
      <c r="K33" s="247">
        <f t="shared" si="1"/>
        <v>0</v>
      </c>
      <c r="L33" s="988">
        <f>U33+Z33+AE33+AJ33+AO33+AT33+AY33+BD33+BI33+BN33+BS33+BX33+CC33+CH33-P33</f>
        <v>0</v>
      </c>
      <c r="M33" s="989">
        <f t="shared" ref="M33:O33" si="2">COUNTIF(R33,"л")+COUNTIF(W33,"л")+COUNTIF(AB33,"л")+COUNTIF(AG33,"л")+COUNTIF(AL33,"л")+COUNTIF(AQ33,"л")+COUNTIF(AV33,"л")+COUNTIF(BA33,"л")+COUNTIF(BF33,"л")+COUNTIF(BK33,"л")+COUNTIF(BP33,"л")+COUNTIF(BU33,"л")+COUNTIF(BZ33,"л")+COUNTIF(CE33,"л")</f>
        <v>0</v>
      </c>
      <c r="N33" s="200">
        <f t="shared" si="2"/>
        <v>0</v>
      </c>
      <c r="O33" s="990">
        <f t="shared" si="2"/>
        <v>0</v>
      </c>
      <c r="P33" s="200">
        <f>COUNTIF(U33,"л")+COUNTIF(Z33,"л")+COUNTIF(AE33,"л")+COUNTIF(AJ33,"л")+COUNTIF(AO33,"л")+COUNTIF(AT33,"л")+COUNTIF(AY33,"л")+COUNTIF(BD33,"л")+COUNTIF(BI33,"л")+COUNTIF(BN33,"л")+COUNTIF(BS33,"л")+COUNTIF(BX33,"л")+COUNTIF(CC33,"л")+COUNTIF(CH33,"л")</f>
        <v>0</v>
      </c>
      <c r="Q33" s="962"/>
      <c r="R33" s="991"/>
      <c r="S33" s="991"/>
      <c r="T33" s="991"/>
      <c r="U33" s="991"/>
      <c r="V33" s="249"/>
      <c r="W33" s="1000"/>
      <c r="X33" s="1000"/>
      <c r="Y33" s="1000"/>
      <c r="Z33" s="993"/>
      <c r="AA33" s="248"/>
      <c r="AB33" s="991"/>
      <c r="AC33" s="991"/>
      <c r="AD33" s="991"/>
      <c r="AE33" s="991"/>
      <c r="AF33" s="249"/>
      <c r="AG33" s="991"/>
      <c r="AH33" s="991"/>
      <c r="AI33" s="991"/>
      <c r="AJ33" s="991"/>
      <c r="AK33" s="249"/>
      <c r="AL33" s="991"/>
      <c r="AM33" s="991"/>
      <c r="AN33" s="991"/>
      <c r="AO33" s="991"/>
      <c r="AP33" s="249"/>
      <c r="AQ33" s="991"/>
      <c r="AR33" s="991"/>
      <c r="AS33" s="991"/>
      <c r="AT33" s="991"/>
      <c r="AU33" s="249"/>
      <c r="AV33" s="991"/>
      <c r="AW33" s="991"/>
      <c r="AX33" s="991"/>
      <c r="AY33" s="991"/>
      <c r="AZ33" s="992"/>
      <c r="BA33" s="991"/>
      <c r="BB33" s="991"/>
      <c r="BC33" s="991"/>
      <c r="BD33" s="993"/>
      <c r="BE33" s="960"/>
      <c r="BF33" s="991"/>
      <c r="BG33" s="991"/>
      <c r="BH33" s="991"/>
      <c r="BI33" s="991"/>
      <c r="BJ33" s="64"/>
      <c r="BK33" s="991"/>
      <c r="BL33" s="991"/>
      <c r="BM33" s="991"/>
      <c r="BN33" s="991"/>
      <c r="BO33" s="977"/>
      <c r="BP33" s="986"/>
      <c r="BQ33" s="986"/>
      <c r="BR33" s="986"/>
      <c r="BS33" s="986"/>
      <c r="BT33" s="959"/>
      <c r="BU33" s="986"/>
      <c r="BV33" s="986"/>
      <c r="BW33" s="986"/>
      <c r="BX33" s="986"/>
      <c r="BY33" s="963"/>
      <c r="BZ33" s="986"/>
      <c r="CA33" s="986"/>
      <c r="CB33" s="986"/>
      <c r="CC33" s="986"/>
      <c r="CD33" s="964"/>
      <c r="CE33" s="986"/>
      <c r="CF33" s="986"/>
      <c r="CG33" s="986"/>
      <c r="CH33" s="986"/>
      <c r="CI33" s="248"/>
      <c r="CJ33" s="991"/>
      <c r="CK33" s="991"/>
      <c r="CL33" s="991"/>
      <c r="CM33" s="994"/>
      <c r="CN33" s="997"/>
      <c r="CO33" s="248"/>
      <c r="CP33" s="991"/>
      <c r="CQ33" s="991"/>
      <c r="CR33" s="991"/>
      <c r="CS33" s="994"/>
      <c r="CT33" s="997"/>
      <c r="CU33" s="248"/>
      <c r="CV33" s="991"/>
      <c r="CW33" s="991"/>
      <c r="CX33" s="991"/>
      <c r="CY33" s="994"/>
      <c r="CZ33" s="997"/>
      <c r="DA33" s="248"/>
      <c r="DB33" s="991"/>
      <c r="DC33" s="991"/>
      <c r="DD33" s="991"/>
      <c r="DE33" s="994"/>
      <c r="DF33" s="997"/>
      <c r="DG33" s="56"/>
      <c r="DH33" s="10" t="e">
        <f>SUMIFS(#REF!,#REF!,$C33,#REF!,$E33,#REF!,$F33)</f>
        <v>#REF!</v>
      </c>
      <c r="DI33" s="29" t="e">
        <f>COUNTIFS(#REF!,$C33,#REF!,$E33,#REF!,$F33,#REF!,"&gt;=0")</f>
        <v>#REF!</v>
      </c>
      <c r="DJ33" s="10" t="e">
        <f>COUNTIFS(#REF!,$C33,#REF!,$E33,#REF!,$F33,#REF!,"лично")</f>
        <v>#REF!</v>
      </c>
      <c r="DK33" s="257" t="s">
        <v>23</v>
      </c>
    </row>
    <row r="34" spans="1:115" ht="12" customHeight="1">
      <c r="A34" s="94">
        <v>2</v>
      </c>
      <c r="B34" s="257" t="s">
        <v>1</v>
      </c>
      <c r="C34" s="255" t="s">
        <v>161</v>
      </c>
      <c r="D34" s="95"/>
      <c r="E34" s="256"/>
      <c r="F34" s="258" t="str">
        <f t="shared" si="0"/>
        <v>Сокращенное название</v>
      </c>
      <c r="G34" s="259" t="s">
        <v>325</v>
      </c>
      <c r="H34" s="469" t="str">
        <f>H33</f>
        <v>Фамилия_1 Имя Отчество</v>
      </c>
      <c r="I34" s="260">
        <f t="shared" ref="I34:I82" si="3">COUNTIF(N34:CA34,"&gt;1")-M34</f>
        <v>0</v>
      </c>
      <c r="J34" s="970">
        <f t="shared" ref="J34:J82" si="4">COUNTIF(O34:CB34,"&gt;1")-N34</f>
        <v>0</v>
      </c>
      <c r="K34" s="260">
        <f t="shared" ref="K34:K82" si="5">COUNTIF(P34:CC34,"&gt;1")-O34</f>
        <v>0</v>
      </c>
      <c r="L34" s="970">
        <f>COUNTIF(U34,"=1")+Z34+AE34+AJ34+AO34+AT34+AY34+BD34+BI34+BN34+BS34+BX34+CC34+CH34</f>
        <v>3</v>
      </c>
      <c r="M34" s="974">
        <f t="shared" ref="M34:M82" si="6">COUNTIF(R34,"л")+COUNTIF(W34,"л")+COUNTIF(AB34,"л")+COUNTIF(AG34,"л")+COUNTIF(AL34,"л")+COUNTIF(AQ34,"л")+COUNTIF(AV34,"л")+COUNTIF(BA34,"л")+COUNTIF(BF34,"л")+COUNTIF(BK34,"л")+COUNTIF(BP34,"л")+COUNTIF(BU34,"л")+COUNTIF(BZ34,"л")+COUNTIF(CE34,"л")</f>
        <v>0</v>
      </c>
      <c r="N34" s="201">
        <f t="shared" ref="N34:N82" si="7">COUNTIF(S34,"л")+COUNTIF(X34,"л")+COUNTIF(AC34,"л")+COUNTIF(AH34,"л")+COUNTIF(AM34,"л")+COUNTIF(AR34,"л")+COUNTIF(AW34,"л")+COUNTIF(BB34,"л")+COUNTIF(BG34,"л")+COUNTIF(BL34,"л")+COUNTIF(BQ34,"л")+COUNTIF(BV34,"л")+COUNTIF(CA34,"л")+COUNTIF(CF34,"л")</f>
        <v>0</v>
      </c>
      <c r="O34" s="972">
        <f t="shared" ref="O34:O82" si="8">COUNTIF(T34,"л")+COUNTIF(Y34,"л")+COUNTIF(AD34,"л")+COUNTIF(AI34,"л")+COUNTIF(AN34,"л")+COUNTIF(AS34,"л")+COUNTIF(AX34,"л")+COUNTIF(BC34,"л")+COUNTIF(BH34,"л")+COUNTIF(BM34,"л")+COUNTIF(BR34,"л")+COUNTIF(BW34,"л")+COUNTIF(CB34,"л")+COUNTIF(CG34,"л")</f>
        <v>0</v>
      </c>
      <c r="P34" s="201">
        <f t="shared" ref="P34:P82" si="9">COUNTIF(U34,"л")+COUNTIF(Z34,"л")+COUNTIF(AE34,"л")+COUNTIF(AJ34,"л")+COUNTIF(AO34,"л")+COUNTIF(AT34,"л")+COUNTIF(AY34,"л")+COUNTIF(BD34,"л")+COUNTIF(BI34,"л")+COUNTIF(BN34,"л")+COUNTIF(BS34,"л")+COUNTIF(BX34,"л")+COUNTIF(CC34,"л")+COUNTIF(CH34,"л")</f>
        <v>1</v>
      </c>
      <c r="Q34" s="264"/>
      <c r="R34" s="969">
        <v>1</v>
      </c>
      <c r="S34" s="969">
        <v>1</v>
      </c>
      <c r="T34" s="969">
        <v>1</v>
      </c>
      <c r="U34" s="969" t="s">
        <v>1144</v>
      </c>
      <c r="V34" s="262"/>
      <c r="W34" s="1001">
        <v>1</v>
      </c>
      <c r="X34" s="1001">
        <v>1</v>
      </c>
      <c r="Y34" s="1001">
        <v>1</v>
      </c>
      <c r="Z34" s="976">
        <v>1</v>
      </c>
      <c r="AA34" s="261">
        <v>1</v>
      </c>
      <c r="AB34" s="969">
        <v>1</v>
      </c>
      <c r="AC34" s="969">
        <v>1</v>
      </c>
      <c r="AD34" s="969">
        <v>1</v>
      </c>
      <c r="AE34" s="969">
        <v>1</v>
      </c>
      <c r="AF34" s="262">
        <v>1</v>
      </c>
      <c r="AG34" s="969">
        <v>1</v>
      </c>
      <c r="AH34" s="969">
        <v>1</v>
      </c>
      <c r="AI34" s="969">
        <v>1</v>
      </c>
      <c r="AJ34" s="969">
        <v>1</v>
      </c>
      <c r="AK34" s="262">
        <v>1</v>
      </c>
      <c r="AL34" s="969">
        <v>1</v>
      </c>
      <c r="AM34" s="969">
        <v>1</v>
      </c>
      <c r="AN34" s="969">
        <v>1</v>
      </c>
      <c r="AO34" s="969"/>
      <c r="AP34" s="262"/>
      <c r="AQ34" s="969"/>
      <c r="AR34" s="969"/>
      <c r="AS34" s="969"/>
      <c r="AT34" s="969"/>
      <c r="AU34" s="262"/>
      <c r="AV34" s="969"/>
      <c r="AW34" s="969"/>
      <c r="AX34" s="969"/>
      <c r="AY34" s="969"/>
      <c r="AZ34" s="265"/>
      <c r="BA34" s="969"/>
      <c r="BB34" s="969"/>
      <c r="BC34" s="969"/>
      <c r="BD34" s="976"/>
      <c r="BE34" s="195"/>
      <c r="BF34" s="969"/>
      <c r="BG34" s="969"/>
      <c r="BH34" s="969"/>
      <c r="BI34" s="969"/>
      <c r="BJ34" s="65"/>
      <c r="BK34" s="969"/>
      <c r="BL34" s="969"/>
      <c r="BM34" s="969"/>
      <c r="BN34" s="969"/>
      <c r="BO34" s="261"/>
      <c r="BP34" s="969"/>
      <c r="BQ34" s="969"/>
      <c r="BR34" s="969"/>
      <c r="BS34" s="969"/>
      <c r="BT34" s="262"/>
      <c r="BU34" s="969"/>
      <c r="BV34" s="969"/>
      <c r="BW34" s="969"/>
      <c r="BX34" s="969"/>
      <c r="BY34" s="186"/>
      <c r="BZ34" s="969"/>
      <c r="CA34" s="969"/>
      <c r="CB34" s="969"/>
      <c r="CC34" s="969"/>
      <c r="CD34" s="840"/>
      <c r="CE34" s="969"/>
      <c r="CF34" s="969"/>
      <c r="CG34" s="969"/>
      <c r="CH34" s="969"/>
      <c r="CI34" s="261"/>
      <c r="CJ34" s="969"/>
      <c r="CK34" s="969"/>
      <c r="CL34" s="969"/>
      <c r="CM34" s="995"/>
      <c r="CN34" s="998"/>
      <c r="CO34" s="261"/>
      <c r="CP34" s="969"/>
      <c r="CQ34" s="969"/>
      <c r="CR34" s="969"/>
      <c r="CS34" s="995"/>
      <c r="CT34" s="998"/>
      <c r="CU34" s="261"/>
      <c r="CV34" s="969"/>
      <c r="CW34" s="969"/>
      <c r="CX34" s="969"/>
      <c r="CY34" s="995"/>
      <c r="CZ34" s="998"/>
      <c r="DA34" s="261"/>
      <c r="DB34" s="969"/>
      <c r="DC34" s="969"/>
      <c r="DD34" s="969"/>
      <c r="DE34" s="995"/>
      <c r="DF34" s="998"/>
      <c r="DG34" s="56"/>
      <c r="DH34" s="10" t="e">
        <f>SUMIFS(#REF!,#REF!,$C34,#REF!,$E34,#REF!,$F34)</f>
        <v>#REF!</v>
      </c>
      <c r="DI34" s="29" t="e">
        <f>COUNTIFS(#REF!,$C34,#REF!,$E34,#REF!,$F34,#REF!,"&gt;=0")</f>
        <v>#REF!</v>
      </c>
      <c r="DJ34" s="10" t="e">
        <f>COUNTIFS(#REF!,$C34,#REF!,$E34,#REF!,$F34,#REF!,"лично")</f>
        <v>#REF!</v>
      </c>
      <c r="DK34" s="257" t="s">
        <v>23</v>
      </c>
    </row>
    <row r="35" spans="1:115" ht="12" customHeight="1">
      <c r="A35" s="94">
        <v>3</v>
      </c>
      <c r="B35" s="257" t="s">
        <v>23</v>
      </c>
      <c r="C35" s="255" t="s">
        <v>161</v>
      </c>
      <c r="D35" s="95"/>
      <c r="E35" s="256"/>
      <c r="F35" s="258" t="str">
        <f t="shared" si="0"/>
        <v>Сокращенное название</v>
      </c>
      <c r="G35" s="259" t="s">
        <v>325</v>
      </c>
      <c r="H35" s="469" t="str">
        <f t="shared" ref="H35:H82" si="10">H34</f>
        <v>Фамилия_1 Имя Отчество</v>
      </c>
      <c r="I35" s="260">
        <f t="shared" si="3"/>
        <v>0</v>
      </c>
      <c r="J35" s="970">
        <f t="shared" si="4"/>
        <v>0</v>
      </c>
      <c r="K35" s="260">
        <f t="shared" si="5"/>
        <v>0</v>
      </c>
      <c r="L35" s="970">
        <f t="shared" ref="L35:L82" si="11">U35+Z35+AE35+AJ35+AO35+AT35+AY35+BD35+BI35+BN35+BS35+BX35+CC35+CH35-P35</f>
        <v>0</v>
      </c>
      <c r="M35" s="974">
        <f t="shared" si="6"/>
        <v>0</v>
      </c>
      <c r="N35" s="201">
        <f t="shared" si="7"/>
        <v>0</v>
      </c>
      <c r="O35" s="972">
        <f t="shared" si="8"/>
        <v>0</v>
      </c>
      <c r="P35" s="201">
        <f t="shared" si="9"/>
        <v>0</v>
      </c>
      <c r="Q35" s="264"/>
      <c r="R35" s="969"/>
      <c r="S35" s="969"/>
      <c r="T35" s="969"/>
      <c r="U35" s="969"/>
      <c r="V35" s="262"/>
      <c r="W35" s="1001"/>
      <c r="X35" s="1001"/>
      <c r="Y35" s="1001"/>
      <c r="Z35" s="976"/>
      <c r="AA35" s="261"/>
      <c r="AB35" s="969"/>
      <c r="AC35" s="969"/>
      <c r="AD35" s="969"/>
      <c r="AE35" s="969"/>
      <c r="AF35" s="262"/>
      <c r="AG35" s="969"/>
      <c r="AH35" s="969"/>
      <c r="AI35" s="969"/>
      <c r="AJ35" s="969"/>
      <c r="AK35" s="262"/>
      <c r="AL35" s="969"/>
      <c r="AM35" s="969"/>
      <c r="AN35" s="969"/>
      <c r="AO35" s="969"/>
      <c r="AP35" s="262"/>
      <c r="AQ35" s="969"/>
      <c r="AR35" s="969"/>
      <c r="AS35" s="969"/>
      <c r="AT35" s="969"/>
      <c r="AU35" s="262"/>
      <c r="AV35" s="969"/>
      <c r="AW35" s="969"/>
      <c r="AX35" s="969"/>
      <c r="AY35" s="969"/>
      <c r="AZ35" s="265"/>
      <c r="BA35" s="969"/>
      <c r="BB35" s="969"/>
      <c r="BC35" s="969"/>
      <c r="BD35" s="976"/>
      <c r="BE35" s="195"/>
      <c r="BF35" s="969"/>
      <c r="BG35" s="969"/>
      <c r="BH35" s="969"/>
      <c r="BI35" s="969"/>
      <c r="BJ35" s="65"/>
      <c r="BK35" s="969"/>
      <c r="BL35" s="969"/>
      <c r="BM35" s="969"/>
      <c r="BN35" s="969"/>
      <c r="BO35" s="261"/>
      <c r="BP35" s="969"/>
      <c r="BQ35" s="969"/>
      <c r="BR35" s="969"/>
      <c r="BS35" s="969"/>
      <c r="BT35" s="262"/>
      <c r="BU35" s="969"/>
      <c r="BV35" s="969"/>
      <c r="BW35" s="969"/>
      <c r="BX35" s="969"/>
      <c r="BY35" s="186"/>
      <c r="BZ35" s="969"/>
      <c r="CA35" s="969"/>
      <c r="CB35" s="969"/>
      <c r="CC35" s="969"/>
      <c r="CD35" s="840"/>
      <c r="CE35" s="969"/>
      <c r="CF35" s="969"/>
      <c r="CG35" s="969"/>
      <c r="CH35" s="969"/>
      <c r="CI35" s="261"/>
      <c r="CJ35" s="969"/>
      <c r="CK35" s="969"/>
      <c r="CL35" s="969"/>
      <c r="CM35" s="995"/>
      <c r="CN35" s="998"/>
      <c r="CO35" s="261"/>
      <c r="CP35" s="969"/>
      <c r="CQ35" s="969"/>
      <c r="CR35" s="969"/>
      <c r="CS35" s="995"/>
      <c r="CT35" s="998"/>
      <c r="CU35" s="261"/>
      <c r="CV35" s="969"/>
      <c r="CW35" s="969"/>
      <c r="CX35" s="969"/>
      <c r="CY35" s="995"/>
      <c r="CZ35" s="998"/>
      <c r="DA35" s="261"/>
      <c r="DB35" s="969"/>
      <c r="DC35" s="969"/>
      <c r="DD35" s="969"/>
      <c r="DE35" s="995"/>
      <c r="DF35" s="998"/>
      <c r="DG35" s="56"/>
      <c r="DH35" s="10" t="e">
        <f>SUMIFS(#REF!,#REF!,$C35,#REF!,$E35,#REF!,$F35)</f>
        <v>#REF!</v>
      </c>
      <c r="DI35" s="29" t="e">
        <f>COUNTIFS(#REF!,$C35,#REF!,$E35,#REF!,$F35,#REF!,"&gt;=0")</f>
        <v>#REF!</v>
      </c>
      <c r="DJ35" s="10" t="e">
        <f>COUNTIFS(#REF!,$C35,#REF!,$E35,#REF!,$F35,#REF!,"лично")</f>
        <v>#REF!</v>
      </c>
      <c r="DK35" s="257" t="s">
        <v>25</v>
      </c>
    </row>
    <row r="36" spans="1:115" ht="12" customHeight="1">
      <c r="A36" s="94">
        <v>4</v>
      </c>
      <c r="B36" s="257" t="s">
        <v>25</v>
      </c>
      <c r="C36" s="255" t="s">
        <v>161</v>
      </c>
      <c r="D36" s="95"/>
      <c r="E36" s="256"/>
      <c r="F36" s="258" t="str">
        <f t="shared" si="0"/>
        <v>Сокращенное название</v>
      </c>
      <c r="G36" s="259" t="s">
        <v>325</v>
      </c>
      <c r="H36" s="469" t="str">
        <f t="shared" si="10"/>
        <v>Фамилия_1 Имя Отчество</v>
      </c>
      <c r="I36" s="260">
        <f t="shared" si="3"/>
        <v>0</v>
      </c>
      <c r="J36" s="970">
        <f t="shared" si="4"/>
        <v>0</v>
      </c>
      <c r="K36" s="260">
        <f t="shared" si="5"/>
        <v>0</v>
      </c>
      <c r="L36" s="970">
        <f t="shared" si="11"/>
        <v>0</v>
      </c>
      <c r="M36" s="974">
        <f t="shared" si="6"/>
        <v>0</v>
      </c>
      <c r="N36" s="201">
        <f t="shared" si="7"/>
        <v>0</v>
      </c>
      <c r="O36" s="972">
        <f t="shared" si="8"/>
        <v>0</v>
      </c>
      <c r="P36" s="201">
        <f t="shared" si="9"/>
        <v>0</v>
      </c>
      <c r="Q36" s="264"/>
      <c r="R36" s="969"/>
      <c r="S36" s="969"/>
      <c r="T36" s="969"/>
      <c r="U36" s="969"/>
      <c r="V36" s="262"/>
      <c r="W36" s="1001"/>
      <c r="X36" s="1001"/>
      <c r="Y36" s="1001"/>
      <c r="Z36" s="976"/>
      <c r="AA36" s="261"/>
      <c r="AB36" s="969"/>
      <c r="AC36" s="969"/>
      <c r="AD36" s="969"/>
      <c r="AE36" s="969"/>
      <c r="AF36" s="262"/>
      <c r="AG36" s="969"/>
      <c r="AH36" s="969"/>
      <c r="AI36" s="969"/>
      <c r="AJ36" s="969"/>
      <c r="AK36" s="262"/>
      <c r="AL36" s="969"/>
      <c r="AM36" s="969"/>
      <c r="AN36" s="969"/>
      <c r="AO36" s="969"/>
      <c r="AP36" s="262"/>
      <c r="AQ36" s="969"/>
      <c r="AR36" s="969"/>
      <c r="AS36" s="969"/>
      <c r="AT36" s="969"/>
      <c r="AU36" s="262"/>
      <c r="AV36" s="969"/>
      <c r="AW36" s="969"/>
      <c r="AX36" s="969"/>
      <c r="AY36" s="969"/>
      <c r="AZ36" s="265"/>
      <c r="BA36" s="969"/>
      <c r="BB36" s="969"/>
      <c r="BC36" s="969"/>
      <c r="BD36" s="976"/>
      <c r="BE36" s="195"/>
      <c r="BF36" s="969"/>
      <c r="BG36" s="969"/>
      <c r="BH36" s="969"/>
      <c r="BI36" s="969"/>
      <c r="BJ36" s="65"/>
      <c r="BK36" s="969"/>
      <c r="BL36" s="969"/>
      <c r="BM36" s="969"/>
      <c r="BN36" s="969"/>
      <c r="BO36" s="261"/>
      <c r="BP36" s="969"/>
      <c r="BQ36" s="969"/>
      <c r="BR36" s="969"/>
      <c r="BS36" s="969"/>
      <c r="BT36" s="262"/>
      <c r="BU36" s="969"/>
      <c r="BV36" s="969"/>
      <c r="BW36" s="969"/>
      <c r="BX36" s="969"/>
      <c r="BY36" s="186"/>
      <c r="BZ36" s="969"/>
      <c r="CA36" s="969"/>
      <c r="CB36" s="969"/>
      <c r="CC36" s="969"/>
      <c r="CD36" s="840"/>
      <c r="CE36" s="969"/>
      <c r="CF36" s="969"/>
      <c r="CG36" s="969"/>
      <c r="CH36" s="969"/>
      <c r="CI36" s="261"/>
      <c r="CJ36" s="969"/>
      <c r="CK36" s="969"/>
      <c r="CL36" s="969"/>
      <c r="CM36" s="995"/>
      <c r="CN36" s="998"/>
      <c r="CO36" s="261"/>
      <c r="CP36" s="969"/>
      <c r="CQ36" s="969"/>
      <c r="CR36" s="969"/>
      <c r="CS36" s="995"/>
      <c r="CT36" s="998"/>
      <c r="CU36" s="261"/>
      <c r="CV36" s="969"/>
      <c r="CW36" s="969"/>
      <c r="CX36" s="969"/>
      <c r="CY36" s="995"/>
      <c r="CZ36" s="998"/>
      <c r="DA36" s="261"/>
      <c r="DB36" s="969"/>
      <c r="DC36" s="969"/>
      <c r="DD36" s="969"/>
      <c r="DE36" s="995"/>
      <c r="DF36" s="998"/>
      <c r="DG36" s="56"/>
      <c r="DH36" s="10" t="e">
        <f>SUMIFS(#REF!,#REF!,$C36,#REF!,$E36,#REF!,$F36)</f>
        <v>#REF!</v>
      </c>
      <c r="DI36" s="29" t="e">
        <f>COUNTIFS(#REF!,$C36,#REF!,$E36,#REF!,$F36,#REF!,"&gt;=0")</f>
        <v>#REF!</v>
      </c>
      <c r="DJ36" s="10" t="e">
        <f>COUNTIFS(#REF!,$C36,#REF!,$E36,#REF!,$F36,#REF!,"лично")</f>
        <v>#REF!</v>
      </c>
      <c r="DK36" s="257" t="s">
        <v>27</v>
      </c>
    </row>
    <row r="37" spans="1:115" ht="12" customHeight="1">
      <c r="A37" s="94">
        <v>5</v>
      </c>
      <c r="B37" s="257" t="s">
        <v>27</v>
      </c>
      <c r="C37" s="255" t="s">
        <v>161</v>
      </c>
      <c r="D37" s="95"/>
      <c r="E37" s="256"/>
      <c r="F37" s="258" t="str">
        <f t="shared" si="0"/>
        <v>Сокращенное название</v>
      </c>
      <c r="G37" s="259" t="s">
        <v>325</v>
      </c>
      <c r="H37" s="469" t="str">
        <f t="shared" si="10"/>
        <v>Фамилия_1 Имя Отчество</v>
      </c>
      <c r="I37" s="260">
        <f t="shared" si="3"/>
        <v>0</v>
      </c>
      <c r="J37" s="970">
        <f t="shared" si="4"/>
        <v>0</v>
      </c>
      <c r="K37" s="260">
        <f t="shared" si="5"/>
        <v>0</v>
      </c>
      <c r="L37" s="970">
        <f t="shared" si="11"/>
        <v>0</v>
      </c>
      <c r="M37" s="974">
        <f t="shared" si="6"/>
        <v>0</v>
      </c>
      <c r="N37" s="201">
        <f t="shared" si="7"/>
        <v>0</v>
      </c>
      <c r="O37" s="972">
        <f t="shared" si="8"/>
        <v>0</v>
      </c>
      <c r="P37" s="201">
        <f t="shared" si="9"/>
        <v>0</v>
      </c>
      <c r="Q37" s="264"/>
      <c r="R37" s="969"/>
      <c r="S37" s="969"/>
      <c r="T37" s="969"/>
      <c r="U37" s="969"/>
      <c r="V37" s="262"/>
      <c r="W37" s="1001"/>
      <c r="X37" s="1001"/>
      <c r="Y37" s="1001"/>
      <c r="Z37" s="976"/>
      <c r="AA37" s="261"/>
      <c r="AB37" s="969"/>
      <c r="AC37" s="969"/>
      <c r="AD37" s="969"/>
      <c r="AE37" s="969"/>
      <c r="AF37" s="262"/>
      <c r="AG37" s="969"/>
      <c r="AH37" s="969"/>
      <c r="AI37" s="969"/>
      <c r="AJ37" s="969"/>
      <c r="AK37" s="262"/>
      <c r="AL37" s="969"/>
      <c r="AM37" s="969"/>
      <c r="AN37" s="969"/>
      <c r="AO37" s="969"/>
      <c r="AP37" s="262"/>
      <c r="AQ37" s="969"/>
      <c r="AR37" s="969"/>
      <c r="AS37" s="969"/>
      <c r="AT37" s="969"/>
      <c r="AU37" s="262"/>
      <c r="AV37" s="969"/>
      <c r="AW37" s="969"/>
      <c r="AX37" s="969"/>
      <c r="AY37" s="969"/>
      <c r="AZ37" s="265"/>
      <c r="BA37" s="969"/>
      <c r="BB37" s="969"/>
      <c r="BC37" s="969"/>
      <c r="BD37" s="976"/>
      <c r="BE37" s="195"/>
      <c r="BF37" s="969"/>
      <c r="BG37" s="969"/>
      <c r="BH37" s="969"/>
      <c r="BI37" s="969"/>
      <c r="BJ37" s="65"/>
      <c r="BK37" s="969"/>
      <c r="BL37" s="969"/>
      <c r="BM37" s="969"/>
      <c r="BN37" s="969"/>
      <c r="BO37" s="261"/>
      <c r="BP37" s="969"/>
      <c r="BQ37" s="969"/>
      <c r="BR37" s="969"/>
      <c r="BS37" s="969"/>
      <c r="BT37" s="262"/>
      <c r="BU37" s="969"/>
      <c r="BV37" s="969"/>
      <c r="BW37" s="969"/>
      <c r="BX37" s="969"/>
      <c r="BY37" s="186"/>
      <c r="BZ37" s="969"/>
      <c r="CA37" s="969"/>
      <c r="CB37" s="969"/>
      <c r="CC37" s="969"/>
      <c r="CD37" s="840"/>
      <c r="CE37" s="969"/>
      <c r="CF37" s="969"/>
      <c r="CG37" s="969"/>
      <c r="CH37" s="969"/>
      <c r="CI37" s="261"/>
      <c r="CJ37" s="969"/>
      <c r="CK37" s="969"/>
      <c r="CL37" s="969"/>
      <c r="CM37" s="995"/>
      <c r="CN37" s="998"/>
      <c r="CO37" s="261"/>
      <c r="CP37" s="969"/>
      <c r="CQ37" s="969"/>
      <c r="CR37" s="969"/>
      <c r="CS37" s="995"/>
      <c r="CT37" s="998"/>
      <c r="CU37" s="261"/>
      <c r="CV37" s="969"/>
      <c r="CW37" s="969"/>
      <c r="CX37" s="969"/>
      <c r="CY37" s="995"/>
      <c r="CZ37" s="998"/>
      <c r="DA37" s="261"/>
      <c r="DB37" s="969"/>
      <c r="DC37" s="969"/>
      <c r="DD37" s="969"/>
      <c r="DE37" s="995"/>
      <c r="DF37" s="998"/>
      <c r="DG37" s="56"/>
      <c r="DH37" s="10" t="e">
        <f>SUMIFS(#REF!,#REF!,$C37,#REF!,$E37,#REF!,$F37)</f>
        <v>#REF!</v>
      </c>
      <c r="DI37" s="29" t="e">
        <f>COUNTIFS(#REF!,$C37,#REF!,$E37,#REF!,$F37,#REF!,"&gt;=0")</f>
        <v>#REF!</v>
      </c>
      <c r="DJ37" s="10" t="e">
        <f>COUNTIFS(#REF!,$C37,#REF!,$E37,#REF!,$F37,#REF!,"лично")</f>
        <v>#REF!</v>
      </c>
      <c r="DK37" s="257" t="s">
        <v>29</v>
      </c>
    </row>
    <row r="38" spans="1:115" ht="12" customHeight="1">
      <c r="A38" s="94">
        <v>6</v>
      </c>
      <c r="B38" s="257" t="s">
        <v>29</v>
      </c>
      <c r="C38" s="255" t="s">
        <v>161</v>
      </c>
      <c r="D38" s="95"/>
      <c r="E38" s="256"/>
      <c r="F38" s="258" t="str">
        <f t="shared" si="0"/>
        <v>Сокращенное название</v>
      </c>
      <c r="G38" s="259" t="s">
        <v>325</v>
      </c>
      <c r="H38" s="469" t="str">
        <f t="shared" si="10"/>
        <v>Фамилия_1 Имя Отчество</v>
      </c>
      <c r="I38" s="260">
        <f t="shared" si="3"/>
        <v>0</v>
      </c>
      <c r="J38" s="970">
        <f t="shared" si="4"/>
        <v>0</v>
      </c>
      <c r="K38" s="260">
        <f t="shared" si="5"/>
        <v>0</v>
      </c>
      <c r="L38" s="970">
        <f t="shared" si="11"/>
        <v>0</v>
      </c>
      <c r="M38" s="974">
        <f t="shared" si="6"/>
        <v>0</v>
      </c>
      <c r="N38" s="201">
        <f t="shared" si="7"/>
        <v>0</v>
      </c>
      <c r="O38" s="972">
        <f t="shared" si="8"/>
        <v>0</v>
      </c>
      <c r="P38" s="201">
        <f t="shared" si="9"/>
        <v>0</v>
      </c>
      <c r="Q38" s="264"/>
      <c r="R38" s="969"/>
      <c r="S38" s="969"/>
      <c r="T38" s="969"/>
      <c r="U38" s="969"/>
      <c r="V38" s="262"/>
      <c r="W38" s="1001"/>
      <c r="X38" s="1001"/>
      <c r="Y38" s="1001"/>
      <c r="Z38" s="976"/>
      <c r="AA38" s="261"/>
      <c r="AB38" s="969"/>
      <c r="AC38" s="969"/>
      <c r="AD38" s="969"/>
      <c r="AE38" s="969"/>
      <c r="AF38" s="262"/>
      <c r="AG38" s="969"/>
      <c r="AH38" s="969"/>
      <c r="AI38" s="969"/>
      <c r="AJ38" s="969"/>
      <c r="AK38" s="262"/>
      <c r="AL38" s="969"/>
      <c r="AM38" s="969"/>
      <c r="AN38" s="969"/>
      <c r="AO38" s="969"/>
      <c r="AP38" s="262"/>
      <c r="AQ38" s="969"/>
      <c r="AR38" s="969"/>
      <c r="AS38" s="969"/>
      <c r="AT38" s="969"/>
      <c r="AU38" s="262"/>
      <c r="AV38" s="969"/>
      <c r="AW38" s="969"/>
      <c r="AX38" s="969"/>
      <c r="AY38" s="969"/>
      <c r="AZ38" s="265"/>
      <c r="BA38" s="969"/>
      <c r="BB38" s="969"/>
      <c r="BC38" s="969"/>
      <c r="BD38" s="976"/>
      <c r="BE38" s="195"/>
      <c r="BF38" s="969"/>
      <c r="BG38" s="969"/>
      <c r="BH38" s="969"/>
      <c r="BI38" s="969"/>
      <c r="BJ38" s="65"/>
      <c r="BK38" s="969"/>
      <c r="BL38" s="969"/>
      <c r="BM38" s="969"/>
      <c r="BN38" s="969"/>
      <c r="BO38" s="261"/>
      <c r="BP38" s="969"/>
      <c r="BQ38" s="969"/>
      <c r="BR38" s="969"/>
      <c r="BS38" s="969"/>
      <c r="BT38" s="262"/>
      <c r="BU38" s="969"/>
      <c r="BV38" s="969"/>
      <c r="BW38" s="969"/>
      <c r="BX38" s="969"/>
      <c r="BY38" s="186"/>
      <c r="BZ38" s="969"/>
      <c r="CA38" s="969"/>
      <c r="CB38" s="969"/>
      <c r="CC38" s="969"/>
      <c r="CD38" s="840"/>
      <c r="CE38" s="969"/>
      <c r="CF38" s="969"/>
      <c r="CG38" s="969"/>
      <c r="CH38" s="969"/>
      <c r="CI38" s="261"/>
      <c r="CJ38" s="969"/>
      <c r="CK38" s="969"/>
      <c r="CL38" s="969"/>
      <c r="CM38" s="995"/>
      <c r="CN38" s="998"/>
      <c r="CO38" s="261"/>
      <c r="CP38" s="969"/>
      <c r="CQ38" s="969"/>
      <c r="CR38" s="969"/>
      <c r="CS38" s="995"/>
      <c r="CT38" s="998"/>
      <c r="CU38" s="261"/>
      <c r="CV38" s="969"/>
      <c r="CW38" s="969"/>
      <c r="CX38" s="969"/>
      <c r="CY38" s="995"/>
      <c r="CZ38" s="998"/>
      <c r="DA38" s="261"/>
      <c r="DB38" s="969"/>
      <c r="DC38" s="969"/>
      <c r="DD38" s="969"/>
      <c r="DE38" s="995"/>
      <c r="DF38" s="998"/>
      <c r="DG38" s="56"/>
      <c r="DH38" s="10" t="e">
        <f>SUMIFS(#REF!,#REF!,$C38,#REF!,$E38,#REF!,$F38)</f>
        <v>#REF!</v>
      </c>
      <c r="DI38" s="29" t="e">
        <f>COUNTIFS(#REF!,$C38,#REF!,$E38,#REF!,$F38,#REF!,"&gt;=0")</f>
        <v>#REF!</v>
      </c>
      <c r="DJ38" s="10" t="e">
        <f>COUNTIFS(#REF!,$C38,#REF!,$E38,#REF!,$F38,#REF!,"лично")</f>
        <v>#REF!</v>
      </c>
      <c r="DK38" s="257" t="s">
        <v>1</v>
      </c>
    </row>
    <row r="39" spans="1:115" ht="12" customHeight="1">
      <c r="A39" s="94">
        <v>7</v>
      </c>
      <c r="B39" s="257" t="s">
        <v>1</v>
      </c>
      <c r="C39" s="255" t="s">
        <v>161</v>
      </c>
      <c r="D39" s="95"/>
      <c r="E39" s="256"/>
      <c r="F39" s="258" t="str">
        <f t="shared" si="0"/>
        <v>Сокращенное название</v>
      </c>
      <c r="G39" s="259" t="s">
        <v>325</v>
      </c>
      <c r="H39" s="469" t="str">
        <f t="shared" si="10"/>
        <v>Фамилия_1 Имя Отчество</v>
      </c>
      <c r="I39" s="260">
        <f t="shared" si="3"/>
        <v>0</v>
      </c>
      <c r="J39" s="970">
        <f t="shared" si="4"/>
        <v>0</v>
      </c>
      <c r="K39" s="260">
        <f t="shared" si="5"/>
        <v>0</v>
      </c>
      <c r="L39" s="970">
        <f t="shared" si="11"/>
        <v>0</v>
      </c>
      <c r="M39" s="974">
        <f t="shared" si="6"/>
        <v>0</v>
      </c>
      <c r="N39" s="201">
        <f t="shared" si="7"/>
        <v>0</v>
      </c>
      <c r="O39" s="972">
        <f t="shared" si="8"/>
        <v>0</v>
      </c>
      <c r="P39" s="201">
        <f t="shared" si="9"/>
        <v>0</v>
      </c>
      <c r="Q39" s="264"/>
      <c r="R39" s="969"/>
      <c r="S39" s="969"/>
      <c r="T39" s="969"/>
      <c r="U39" s="969"/>
      <c r="V39" s="262"/>
      <c r="W39" s="1001"/>
      <c r="X39" s="1001"/>
      <c r="Y39" s="1001"/>
      <c r="Z39" s="976"/>
      <c r="AA39" s="261"/>
      <c r="AB39" s="969"/>
      <c r="AC39" s="969"/>
      <c r="AD39" s="969"/>
      <c r="AE39" s="969"/>
      <c r="AF39" s="262"/>
      <c r="AG39" s="969"/>
      <c r="AH39" s="969"/>
      <c r="AI39" s="969"/>
      <c r="AJ39" s="969"/>
      <c r="AK39" s="262"/>
      <c r="AL39" s="969"/>
      <c r="AM39" s="969"/>
      <c r="AN39" s="969"/>
      <c r="AO39" s="969"/>
      <c r="AP39" s="262"/>
      <c r="AQ39" s="969"/>
      <c r="AR39" s="969"/>
      <c r="AS39" s="969"/>
      <c r="AT39" s="969"/>
      <c r="AU39" s="262"/>
      <c r="AV39" s="969"/>
      <c r="AW39" s="969"/>
      <c r="AX39" s="969"/>
      <c r="AY39" s="969"/>
      <c r="AZ39" s="265"/>
      <c r="BA39" s="969"/>
      <c r="BB39" s="969"/>
      <c r="BC39" s="969"/>
      <c r="BD39" s="976"/>
      <c r="BE39" s="195"/>
      <c r="BF39" s="969"/>
      <c r="BG39" s="969"/>
      <c r="BH39" s="969"/>
      <c r="BI39" s="969"/>
      <c r="BJ39" s="65"/>
      <c r="BK39" s="969"/>
      <c r="BL39" s="969"/>
      <c r="BM39" s="969"/>
      <c r="BN39" s="969"/>
      <c r="BO39" s="261"/>
      <c r="BP39" s="969"/>
      <c r="BQ39" s="969"/>
      <c r="BR39" s="969"/>
      <c r="BS39" s="969"/>
      <c r="BT39" s="262"/>
      <c r="BU39" s="969"/>
      <c r="BV39" s="969"/>
      <c r="BW39" s="969"/>
      <c r="BX39" s="969"/>
      <c r="BY39" s="186"/>
      <c r="BZ39" s="969"/>
      <c r="CA39" s="969"/>
      <c r="CB39" s="969"/>
      <c r="CC39" s="969"/>
      <c r="CD39" s="840"/>
      <c r="CE39" s="969"/>
      <c r="CF39" s="969"/>
      <c r="CG39" s="969"/>
      <c r="CH39" s="969"/>
      <c r="CI39" s="261"/>
      <c r="CJ39" s="969"/>
      <c r="CK39" s="969"/>
      <c r="CL39" s="969"/>
      <c r="CM39" s="995"/>
      <c r="CN39" s="998"/>
      <c r="CO39" s="261"/>
      <c r="CP39" s="969"/>
      <c r="CQ39" s="969"/>
      <c r="CR39" s="969"/>
      <c r="CS39" s="995"/>
      <c r="CT39" s="998"/>
      <c r="CU39" s="261"/>
      <c r="CV39" s="969"/>
      <c r="CW39" s="969"/>
      <c r="CX39" s="969"/>
      <c r="CY39" s="995"/>
      <c r="CZ39" s="998"/>
      <c r="DA39" s="261"/>
      <c r="DB39" s="969"/>
      <c r="DC39" s="969"/>
      <c r="DD39" s="969"/>
      <c r="DE39" s="995"/>
      <c r="DF39" s="998"/>
      <c r="DG39" s="56"/>
      <c r="DH39" s="10" t="e">
        <f>SUMIFS(#REF!,#REF!,$C39,#REF!,$E39,#REF!,$F39)</f>
        <v>#REF!</v>
      </c>
      <c r="DI39" s="29" t="e">
        <f>COUNTIFS(#REF!,$C39,#REF!,$E39,#REF!,$F39,#REF!,"&gt;=0")</f>
        <v>#REF!</v>
      </c>
      <c r="DJ39" s="10" t="e">
        <f>COUNTIFS(#REF!,$C39,#REF!,$E39,#REF!,$F39,#REF!,"лично")</f>
        <v>#REF!</v>
      </c>
      <c r="DK39" s="257" t="s">
        <v>13</v>
      </c>
    </row>
    <row r="40" spans="1:115" ht="12" customHeight="1">
      <c r="A40" s="94">
        <v>8</v>
      </c>
      <c r="B40" s="257" t="s">
        <v>1</v>
      </c>
      <c r="C40" s="255" t="s">
        <v>161</v>
      </c>
      <c r="D40" s="95"/>
      <c r="E40" s="256"/>
      <c r="F40" s="258" t="str">
        <f t="shared" si="0"/>
        <v>Сокращенное название</v>
      </c>
      <c r="G40" s="259" t="s">
        <v>325</v>
      </c>
      <c r="H40" s="469" t="str">
        <f t="shared" si="10"/>
        <v>Фамилия_1 Имя Отчество</v>
      </c>
      <c r="I40" s="260">
        <f t="shared" si="3"/>
        <v>0</v>
      </c>
      <c r="J40" s="970">
        <f t="shared" si="4"/>
        <v>0</v>
      </c>
      <c r="K40" s="260">
        <f t="shared" si="5"/>
        <v>0</v>
      </c>
      <c r="L40" s="970">
        <f t="shared" si="11"/>
        <v>0</v>
      </c>
      <c r="M40" s="974">
        <f t="shared" si="6"/>
        <v>0</v>
      </c>
      <c r="N40" s="201">
        <f t="shared" si="7"/>
        <v>0</v>
      </c>
      <c r="O40" s="972">
        <f t="shared" si="8"/>
        <v>0</v>
      </c>
      <c r="P40" s="201">
        <f t="shared" si="9"/>
        <v>0</v>
      </c>
      <c r="Q40" s="264"/>
      <c r="R40" s="969"/>
      <c r="S40" s="969"/>
      <c r="T40" s="969"/>
      <c r="U40" s="969"/>
      <c r="V40" s="262"/>
      <c r="W40" s="1001"/>
      <c r="X40" s="1001"/>
      <c r="Y40" s="1001"/>
      <c r="Z40" s="976"/>
      <c r="AA40" s="261"/>
      <c r="AB40" s="969"/>
      <c r="AC40" s="969"/>
      <c r="AD40" s="969"/>
      <c r="AE40" s="969"/>
      <c r="AF40" s="262"/>
      <c r="AG40" s="969"/>
      <c r="AH40" s="969"/>
      <c r="AI40" s="969"/>
      <c r="AJ40" s="969"/>
      <c r="AK40" s="262"/>
      <c r="AL40" s="969"/>
      <c r="AM40" s="969"/>
      <c r="AN40" s="969"/>
      <c r="AO40" s="969"/>
      <c r="AP40" s="262"/>
      <c r="AQ40" s="969"/>
      <c r="AR40" s="969"/>
      <c r="AS40" s="969"/>
      <c r="AT40" s="969"/>
      <c r="AU40" s="262"/>
      <c r="AV40" s="969"/>
      <c r="AW40" s="969"/>
      <c r="AX40" s="969"/>
      <c r="AY40" s="969"/>
      <c r="AZ40" s="265"/>
      <c r="BA40" s="969"/>
      <c r="BB40" s="969"/>
      <c r="BC40" s="969"/>
      <c r="BD40" s="976"/>
      <c r="BE40" s="195"/>
      <c r="BF40" s="969"/>
      <c r="BG40" s="969"/>
      <c r="BH40" s="969"/>
      <c r="BI40" s="969"/>
      <c r="BJ40" s="65"/>
      <c r="BK40" s="969"/>
      <c r="BL40" s="969"/>
      <c r="BM40" s="969"/>
      <c r="BN40" s="969"/>
      <c r="BO40" s="261"/>
      <c r="BP40" s="969"/>
      <c r="BQ40" s="969"/>
      <c r="BR40" s="969"/>
      <c r="BS40" s="969"/>
      <c r="BT40" s="262"/>
      <c r="BU40" s="969"/>
      <c r="BV40" s="969"/>
      <c r="BW40" s="969"/>
      <c r="BX40" s="969"/>
      <c r="BY40" s="186"/>
      <c r="BZ40" s="969"/>
      <c r="CA40" s="969"/>
      <c r="CB40" s="969"/>
      <c r="CC40" s="969"/>
      <c r="CD40" s="840"/>
      <c r="CE40" s="969"/>
      <c r="CF40" s="969"/>
      <c r="CG40" s="969"/>
      <c r="CH40" s="969"/>
      <c r="CI40" s="261"/>
      <c r="CJ40" s="969"/>
      <c r="CK40" s="969"/>
      <c r="CL40" s="969"/>
      <c r="CM40" s="995"/>
      <c r="CN40" s="998"/>
      <c r="CO40" s="261"/>
      <c r="CP40" s="969"/>
      <c r="CQ40" s="969"/>
      <c r="CR40" s="969"/>
      <c r="CS40" s="995"/>
      <c r="CT40" s="998"/>
      <c r="CU40" s="261"/>
      <c r="CV40" s="969"/>
      <c r="CW40" s="969"/>
      <c r="CX40" s="969"/>
      <c r="CY40" s="995"/>
      <c r="CZ40" s="998"/>
      <c r="DA40" s="261"/>
      <c r="DB40" s="969"/>
      <c r="DC40" s="969"/>
      <c r="DD40" s="969"/>
      <c r="DE40" s="995"/>
      <c r="DF40" s="998"/>
      <c r="DG40" s="56"/>
      <c r="DH40" s="10" t="e">
        <f>SUMIFS(#REF!,#REF!,$C40,#REF!,$E40,#REF!,$F40)</f>
        <v>#REF!</v>
      </c>
      <c r="DI40" s="29" t="e">
        <f>COUNTIFS(#REF!,$C40,#REF!,$E40,#REF!,$F40,#REF!,"&gt;=0")</f>
        <v>#REF!</v>
      </c>
      <c r="DJ40" s="10" t="e">
        <f>COUNTIFS(#REF!,$C40,#REF!,$E40,#REF!,$F40,#REF!,"лично")</f>
        <v>#REF!</v>
      </c>
      <c r="DK40" s="257" t="s">
        <v>14</v>
      </c>
    </row>
    <row r="41" spans="1:115" ht="12" customHeight="1">
      <c r="A41" s="94">
        <v>9</v>
      </c>
      <c r="B41" s="257" t="s">
        <v>14</v>
      </c>
      <c r="C41" s="255" t="s">
        <v>161</v>
      </c>
      <c r="D41" s="95"/>
      <c r="E41" s="256"/>
      <c r="F41" s="258" t="str">
        <f t="shared" si="0"/>
        <v>Сокращенное название</v>
      </c>
      <c r="G41" s="259" t="s">
        <v>325</v>
      </c>
      <c r="H41" s="469" t="str">
        <f t="shared" si="10"/>
        <v>Фамилия_1 Имя Отчество</v>
      </c>
      <c r="I41" s="260">
        <f t="shared" si="3"/>
        <v>0</v>
      </c>
      <c r="J41" s="970">
        <f t="shared" si="4"/>
        <v>0</v>
      </c>
      <c r="K41" s="260">
        <f t="shared" si="5"/>
        <v>0</v>
      </c>
      <c r="L41" s="970">
        <f t="shared" si="11"/>
        <v>0</v>
      </c>
      <c r="M41" s="974">
        <f t="shared" si="6"/>
        <v>0</v>
      </c>
      <c r="N41" s="201">
        <f t="shared" si="7"/>
        <v>0</v>
      </c>
      <c r="O41" s="972">
        <f t="shared" si="8"/>
        <v>0</v>
      </c>
      <c r="P41" s="201">
        <f t="shared" si="9"/>
        <v>0</v>
      </c>
      <c r="Q41" s="264"/>
      <c r="R41" s="969"/>
      <c r="S41" s="969"/>
      <c r="T41" s="969"/>
      <c r="U41" s="969"/>
      <c r="V41" s="262"/>
      <c r="W41" s="1001"/>
      <c r="X41" s="1001"/>
      <c r="Y41" s="1001"/>
      <c r="Z41" s="976"/>
      <c r="AA41" s="261"/>
      <c r="AB41" s="969"/>
      <c r="AC41" s="969"/>
      <c r="AD41" s="969"/>
      <c r="AE41" s="969"/>
      <c r="AF41" s="262"/>
      <c r="AG41" s="969"/>
      <c r="AH41" s="969"/>
      <c r="AI41" s="969"/>
      <c r="AJ41" s="969"/>
      <c r="AK41" s="262"/>
      <c r="AL41" s="969"/>
      <c r="AM41" s="969"/>
      <c r="AN41" s="969"/>
      <c r="AO41" s="969"/>
      <c r="AP41" s="262"/>
      <c r="AQ41" s="969"/>
      <c r="AR41" s="969"/>
      <c r="AS41" s="969"/>
      <c r="AT41" s="969"/>
      <c r="AU41" s="262"/>
      <c r="AV41" s="969"/>
      <c r="AW41" s="969"/>
      <c r="AX41" s="969"/>
      <c r="AY41" s="969"/>
      <c r="AZ41" s="265"/>
      <c r="BA41" s="969"/>
      <c r="BB41" s="969"/>
      <c r="BC41" s="969"/>
      <c r="BD41" s="976"/>
      <c r="BE41" s="195"/>
      <c r="BF41" s="969"/>
      <c r="BG41" s="969"/>
      <c r="BH41" s="969"/>
      <c r="BI41" s="969"/>
      <c r="BJ41" s="65"/>
      <c r="BK41" s="969"/>
      <c r="BL41" s="969"/>
      <c r="BM41" s="969"/>
      <c r="BN41" s="969"/>
      <c r="BO41" s="261"/>
      <c r="BP41" s="969"/>
      <c r="BQ41" s="969"/>
      <c r="BR41" s="969"/>
      <c r="BS41" s="969"/>
      <c r="BT41" s="262"/>
      <c r="BU41" s="969"/>
      <c r="BV41" s="969"/>
      <c r="BW41" s="969"/>
      <c r="BX41" s="969"/>
      <c r="BY41" s="186"/>
      <c r="BZ41" s="969"/>
      <c r="CA41" s="969"/>
      <c r="CB41" s="969"/>
      <c r="CC41" s="969"/>
      <c r="CD41" s="840"/>
      <c r="CE41" s="969"/>
      <c r="CF41" s="969"/>
      <c r="CG41" s="969"/>
      <c r="CH41" s="969"/>
      <c r="CI41" s="261"/>
      <c r="CJ41" s="969"/>
      <c r="CK41" s="969"/>
      <c r="CL41" s="969"/>
      <c r="CM41" s="995"/>
      <c r="CN41" s="998"/>
      <c r="CO41" s="261"/>
      <c r="CP41" s="969"/>
      <c r="CQ41" s="969"/>
      <c r="CR41" s="969"/>
      <c r="CS41" s="995"/>
      <c r="CT41" s="998"/>
      <c r="CU41" s="261"/>
      <c r="CV41" s="969"/>
      <c r="CW41" s="969"/>
      <c r="CX41" s="969"/>
      <c r="CY41" s="995"/>
      <c r="CZ41" s="998"/>
      <c r="DA41" s="261"/>
      <c r="DB41" s="969"/>
      <c r="DC41" s="969"/>
      <c r="DD41" s="969"/>
      <c r="DE41" s="995"/>
      <c r="DF41" s="998"/>
      <c r="DG41" s="56"/>
      <c r="DH41" s="10" t="e">
        <f>SUMIFS(#REF!,#REF!,$C41,#REF!,$E41,#REF!,$F41)</f>
        <v>#REF!</v>
      </c>
      <c r="DI41" s="29" t="e">
        <f>COUNTIFS(#REF!,$C41,#REF!,$E41,#REF!,$F41,#REF!,"&gt;=0")</f>
        <v>#REF!</v>
      </c>
      <c r="DJ41" s="10" t="e">
        <f>COUNTIFS(#REF!,$C41,#REF!,$E41,#REF!,$F41,#REF!,"лично")</f>
        <v>#REF!</v>
      </c>
      <c r="DK41" s="66" t="s">
        <v>35</v>
      </c>
    </row>
    <row r="42" spans="1:115" ht="12" customHeight="1">
      <c r="A42" s="94">
        <v>10</v>
      </c>
      <c r="B42" s="257" t="s">
        <v>1</v>
      </c>
      <c r="C42" s="255" t="s">
        <v>161</v>
      </c>
      <c r="D42" s="95"/>
      <c r="E42" s="256"/>
      <c r="F42" s="258" t="str">
        <f t="shared" si="0"/>
        <v>Сокращенное название</v>
      </c>
      <c r="G42" s="259" t="s">
        <v>325</v>
      </c>
      <c r="H42" s="469" t="str">
        <f t="shared" si="10"/>
        <v>Фамилия_1 Имя Отчество</v>
      </c>
      <c r="I42" s="260">
        <f t="shared" si="3"/>
        <v>0</v>
      </c>
      <c r="J42" s="970">
        <f t="shared" si="4"/>
        <v>0</v>
      </c>
      <c r="K42" s="260">
        <f t="shared" si="5"/>
        <v>0</v>
      </c>
      <c r="L42" s="970">
        <f t="shared" si="11"/>
        <v>0</v>
      </c>
      <c r="M42" s="974">
        <f t="shared" si="6"/>
        <v>0</v>
      </c>
      <c r="N42" s="201">
        <f t="shared" si="7"/>
        <v>0</v>
      </c>
      <c r="O42" s="972">
        <f t="shared" si="8"/>
        <v>0</v>
      </c>
      <c r="P42" s="201">
        <f t="shared" si="9"/>
        <v>0</v>
      </c>
      <c r="Q42" s="264"/>
      <c r="R42" s="969"/>
      <c r="S42" s="969"/>
      <c r="T42" s="969"/>
      <c r="U42" s="969"/>
      <c r="V42" s="262"/>
      <c r="W42" s="1001"/>
      <c r="X42" s="1001"/>
      <c r="Y42" s="1001"/>
      <c r="Z42" s="976"/>
      <c r="AA42" s="261"/>
      <c r="AB42" s="969"/>
      <c r="AC42" s="969"/>
      <c r="AD42" s="969"/>
      <c r="AE42" s="969"/>
      <c r="AF42" s="262"/>
      <c r="AG42" s="969"/>
      <c r="AH42" s="969"/>
      <c r="AI42" s="969"/>
      <c r="AJ42" s="969"/>
      <c r="AK42" s="262"/>
      <c r="AL42" s="969"/>
      <c r="AM42" s="969"/>
      <c r="AN42" s="969"/>
      <c r="AO42" s="969"/>
      <c r="AP42" s="262"/>
      <c r="AQ42" s="969"/>
      <c r="AR42" s="969"/>
      <c r="AS42" s="969"/>
      <c r="AT42" s="969"/>
      <c r="AU42" s="262"/>
      <c r="AV42" s="969"/>
      <c r="AW42" s="969"/>
      <c r="AX42" s="969"/>
      <c r="AY42" s="969"/>
      <c r="AZ42" s="265"/>
      <c r="BA42" s="969"/>
      <c r="BB42" s="969"/>
      <c r="BC42" s="969"/>
      <c r="BD42" s="976"/>
      <c r="BE42" s="195"/>
      <c r="BF42" s="969"/>
      <c r="BG42" s="969"/>
      <c r="BH42" s="969"/>
      <c r="BI42" s="969"/>
      <c r="BJ42" s="65"/>
      <c r="BK42" s="969"/>
      <c r="BL42" s="969"/>
      <c r="BM42" s="969"/>
      <c r="BN42" s="969"/>
      <c r="BO42" s="261"/>
      <c r="BP42" s="969"/>
      <c r="BQ42" s="969"/>
      <c r="BR42" s="969"/>
      <c r="BS42" s="969"/>
      <c r="BT42" s="262"/>
      <c r="BU42" s="969"/>
      <c r="BV42" s="969"/>
      <c r="BW42" s="969"/>
      <c r="BX42" s="969"/>
      <c r="BY42" s="186"/>
      <c r="BZ42" s="969"/>
      <c r="CA42" s="969"/>
      <c r="CB42" s="969"/>
      <c r="CC42" s="969"/>
      <c r="CD42" s="840"/>
      <c r="CE42" s="969"/>
      <c r="CF42" s="969"/>
      <c r="CG42" s="969"/>
      <c r="CH42" s="969"/>
      <c r="CI42" s="261"/>
      <c r="CJ42" s="969"/>
      <c r="CK42" s="969"/>
      <c r="CL42" s="969"/>
      <c r="CM42" s="995"/>
      <c r="CN42" s="998"/>
      <c r="CO42" s="261"/>
      <c r="CP42" s="969"/>
      <c r="CQ42" s="969"/>
      <c r="CR42" s="969"/>
      <c r="CS42" s="995"/>
      <c r="CT42" s="998"/>
      <c r="CU42" s="261"/>
      <c r="CV42" s="969"/>
      <c r="CW42" s="969"/>
      <c r="CX42" s="969"/>
      <c r="CY42" s="995"/>
      <c r="CZ42" s="998"/>
      <c r="DA42" s="261"/>
      <c r="DB42" s="969"/>
      <c r="DC42" s="969"/>
      <c r="DD42" s="969"/>
      <c r="DE42" s="995"/>
      <c r="DF42" s="998"/>
      <c r="DG42" s="56"/>
      <c r="DH42" s="10" t="e">
        <f>SUMIFS(#REF!,#REF!,$C42,#REF!,$E42,#REF!,$F42)</f>
        <v>#REF!</v>
      </c>
      <c r="DI42" s="29" t="e">
        <f>COUNTIFS(#REF!,$C42,#REF!,$E42,#REF!,$F42,#REF!,"&gt;=0")</f>
        <v>#REF!</v>
      </c>
      <c r="DJ42" s="10" t="e">
        <f>COUNTIFS(#REF!,$C42,#REF!,$E42,#REF!,$F42,#REF!,"лично")</f>
        <v>#REF!</v>
      </c>
      <c r="DK42" s="66" t="s">
        <v>10</v>
      </c>
    </row>
    <row r="43" spans="1:115" ht="12" customHeight="1">
      <c r="A43" s="94">
        <v>11</v>
      </c>
      <c r="B43" s="66" t="s">
        <v>35</v>
      </c>
      <c r="C43" s="255" t="s">
        <v>161</v>
      </c>
      <c r="D43" s="95"/>
      <c r="E43" s="256"/>
      <c r="F43" s="258" t="str">
        <f t="shared" si="0"/>
        <v>Сокращенное название</v>
      </c>
      <c r="G43" s="259" t="s">
        <v>325</v>
      </c>
      <c r="H43" s="469" t="str">
        <f t="shared" si="10"/>
        <v>Фамилия_1 Имя Отчество</v>
      </c>
      <c r="I43" s="260">
        <f t="shared" si="3"/>
        <v>0</v>
      </c>
      <c r="J43" s="970">
        <f t="shared" si="4"/>
        <v>0</v>
      </c>
      <c r="K43" s="260">
        <f t="shared" si="5"/>
        <v>0</v>
      </c>
      <c r="L43" s="970">
        <f t="shared" si="11"/>
        <v>0</v>
      </c>
      <c r="M43" s="974">
        <f t="shared" si="6"/>
        <v>0</v>
      </c>
      <c r="N43" s="201">
        <f t="shared" si="7"/>
        <v>0</v>
      </c>
      <c r="O43" s="972">
        <f t="shared" si="8"/>
        <v>0</v>
      </c>
      <c r="P43" s="201">
        <f t="shared" si="9"/>
        <v>0</v>
      </c>
      <c r="Q43" s="264"/>
      <c r="R43" s="969"/>
      <c r="S43" s="969"/>
      <c r="T43" s="969"/>
      <c r="U43" s="969"/>
      <c r="V43" s="262"/>
      <c r="W43" s="1001"/>
      <c r="X43" s="1001"/>
      <c r="Y43" s="1001"/>
      <c r="Z43" s="976"/>
      <c r="AA43" s="261"/>
      <c r="AB43" s="969"/>
      <c r="AC43" s="969"/>
      <c r="AD43" s="969"/>
      <c r="AE43" s="969"/>
      <c r="AF43" s="262"/>
      <c r="AG43" s="969"/>
      <c r="AH43" s="969"/>
      <c r="AI43" s="969"/>
      <c r="AJ43" s="969"/>
      <c r="AK43" s="262"/>
      <c r="AL43" s="969"/>
      <c r="AM43" s="969"/>
      <c r="AN43" s="969"/>
      <c r="AO43" s="969"/>
      <c r="AP43" s="262"/>
      <c r="AQ43" s="969"/>
      <c r="AR43" s="969"/>
      <c r="AS43" s="969"/>
      <c r="AT43" s="969"/>
      <c r="AU43" s="262"/>
      <c r="AV43" s="969"/>
      <c r="AW43" s="969"/>
      <c r="AX43" s="969"/>
      <c r="AY43" s="969"/>
      <c r="AZ43" s="265"/>
      <c r="BA43" s="969"/>
      <c r="BB43" s="969"/>
      <c r="BC43" s="969"/>
      <c r="BD43" s="976"/>
      <c r="BE43" s="195"/>
      <c r="BF43" s="969"/>
      <c r="BG43" s="969"/>
      <c r="BH43" s="969"/>
      <c r="BI43" s="969"/>
      <c r="BJ43" s="65"/>
      <c r="BK43" s="969"/>
      <c r="BL43" s="969"/>
      <c r="BM43" s="969"/>
      <c r="BN43" s="969"/>
      <c r="BO43" s="261"/>
      <c r="BP43" s="969"/>
      <c r="BQ43" s="969"/>
      <c r="BR43" s="969"/>
      <c r="BS43" s="969"/>
      <c r="BT43" s="262"/>
      <c r="BU43" s="969"/>
      <c r="BV43" s="969"/>
      <c r="BW43" s="969"/>
      <c r="BX43" s="969"/>
      <c r="BY43" s="186"/>
      <c r="BZ43" s="969"/>
      <c r="CA43" s="969"/>
      <c r="CB43" s="969"/>
      <c r="CC43" s="969"/>
      <c r="CD43" s="840"/>
      <c r="CE43" s="969"/>
      <c r="CF43" s="969"/>
      <c r="CG43" s="969"/>
      <c r="CH43" s="969"/>
      <c r="CI43" s="261"/>
      <c r="CJ43" s="969"/>
      <c r="CK43" s="969"/>
      <c r="CL43" s="969"/>
      <c r="CM43" s="995"/>
      <c r="CN43" s="998"/>
      <c r="CO43" s="261"/>
      <c r="CP43" s="969"/>
      <c r="CQ43" s="969"/>
      <c r="CR43" s="969"/>
      <c r="CS43" s="995"/>
      <c r="CT43" s="998"/>
      <c r="CU43" s="261"/>
      <c r="CV43" s="969"/>
      <c r="CW43" s="969"/>
      <c r="CX43" s="969"/>
      <c r="CY43" s="995"/>
      <c r="CZ43" s="998"/>
      <c r="DA43" s="261"/>
      <c r="DB43" s="969"/>
      <c r="DC43" s="969"/>
      <c r="DD43" s="969"/>
      <c r="DE43" s="995"/>
      <c r="DF43" s="998"/>
      <c r="DG43" s="56"/>
      <c r="DH43" s="10" t="e">
        <f>SUMIFS(#REF!,#REF!,$C43,#REF!,$E43,#REF!,$F43)</f>
        <v>#REF!</v>
      </c>
      <c r="DI43" s="29" t="e">
        <f>COUNTIFS(#REF!,$C43,#REF!,$E43,#REF!,$F43,#REF!,"&gt;=0")</f>
        <v>#REF!</v>
      </c>
      <c r="DJ43" s="10" t="e">
        <f>COUNTIFS(#REF!,$C43,#REF!,$E43,#REF!,$F43,#REF!,"лично")</f>
        <v>#REF!</v>
      </c>
      <c r="DK43" s="66" t="s">
        <v>11</v>
      </c>
    </row>
    <row r="44" spans="1:115" ht="12" customHeight="1">
      <c r="A44" s="94">
        <v>12</v>
      </c>
      <c r="B44" s="257" t="s">
        <v>29</v>
      </c>
      <c r="C44" s="255" t="s">
        <v>161</v>
      </c>
      <c r="D44" s="95"/>
      <c r="E44" s="256"/>
      <c r="F44" s="258" t="str">
        <f t="shared" si="0"/>
        <v>Сокращенное название</v>
      </c>
      <c r="G44" s="259" t="s">
        <v>325</v>
      </c>
      <c r="H44" s="469" t="str">
        <f t="shared" si="10"/>
        <v>Фамилия_1 Имя Отчество</v>
      </c>
      <c r="I44" s="260">
        <f t="shared" si="3"/>
        <v>0</v>
      </c>
      <c r="J44" s="970">
        <f t="shared" si="4"/>
        <v>0</v>
      </c>
      <c r="K44" s="260">
        <f t="shared" si="5"/>
        <v>0</v>
      </c>
      <c r="L44" s="970">
        <f t="shared" si="11"/>
        <v>0</v>
      </c>
      <c r="M44" s="974">
        <f t="shared" si="6"/>
        <v>0</v>
      </c>
      <c r="N44" s="201">
        <f t="shared" si="7"/>
        <v>0</v>
      </c>
      <c r="O44" s="972">
        <f t="shared" si="8"/>
        <v>0</v>
      </c>
      <c r="P44" s="201">
        <f t="shared" si="9"/>
        <v>0</v>
      </c>
      <c r="Q44" s="264"/>
      <c r="R44" s="969"/>
      <c r="S44" s="969"/>
      <c r="T44" s="969"/>
      <c r="U44" s="969"/>
      <c r="V44" s="262"/>
      <c r="W44" s="1001"/>
      <c r="X44" s="1001"/>
      <c r="Y44" s="1001"/>
      <c r="Z44" s="976"/>
      <c r="AA44" s="261"/>
      <c r="AB44" s="969"/>
      <c r="AC44" s="969"/>
      <c r="AD44" s="969"/>
      <c r="AE44" s="969"/>
      <c r="AF44" s="262"/>
      <c r="AG44" s="969"/>
      <c r="AH44" s="969"/>
      <c r="AI44" s="969"/>
      <c r="AJ44" s="969"/>
      <c r="AK44" s="262"/>
      <c r="AL44" s="969"/>
      <c r="AM44" s="969"/>
      <c r="AN44" s="969"/>
      <c r="AO44" s="969"/>
      <c r="AP44" s="262"/>
      <c r="AQ44" s="969"/>
      <c r="AR44" s="969"/>
      <c r="AS44" s="969"/>
      <c r="AT44" s="969"/>
      <c r="AU44" s="262"/>
      <c r="AV44" s="969"/>
      <c r="AW44" s="969"/>
      <c r="AX44" s="969"/>
      <c r="AY44" s="969"/>
      <c r="AZ44" s="265"/>
      <c r="BA44" s="969"/>
      <c r="BB44" s="969"/>
      <c r="BC44" s="969"/>
      <c r="BD44" s="976"/>
      <c r="BE44" s="195"/>
      <c r="BF44" s="969"/>
      <c r="BG44" s="969"/>
      <c r="BH44" s="969"/>
      <c r="BI44" s="969"/>
      <c r="BJ44" s="65"/>
      <c r="BK44" s="969"/>
      <c r="BL44" s="969"/>
      <c r="BM44" s="969"/>
      <c r="BN44" s="969"/>
      <c r="BO44" s="261"/>
      <c r="BP44" s="969"/>
      <c r="BQ44" s="969"/>
      <c r="BR44" s="969"/>
      <c r="BS44" s="969"/>
      <c r="BT44" s="262"/>
      <c r="BU44" s="969"/>
      <c r="BV44" s="969"/>
      <c r="BW44" s="969"/>
      <c r="BX44" s="969"/>
      <c r="BY44" s="186"/>
      <c r="BZ44" s="969"/>
      <c r="CA44" s="969"/>
      <c r="CB44" s="969"/>
      <c r="CC44" s="969"/>
      <c r="CD44" s="840"/>
      <c r="CE44" s="969"/>
      <c r="CF44" s="969"/>
      <c r="CG44" s="969"/>
      <c r="CH44" s="969"/>
      <c r="CI44" s="261"/>
      <c r="CJ44" s="969"/>
      <c r="CK44" s="969"/>
      <c r="CL44" s="969"/>
      <c r="CM44" s="995"/>
      <c r="CN44" s="998"/>
      <c r="CO44" s="261"/>
      <c r="CP44" s="969"/>
      <c r="CQ44" s="969"/>
      <c r="CR44" s="969"/>
      <c r="CS44" s="995"/>
      <c r="CT44" s="998"/>
      <c r="CU44" s="261"/>
      <c r="CV44" s="969"/>
      <c r="CW44" s="969"/>
      <c r="CX44" s="969"/>
      <c r="CY44" s="995"/>
      <c r="CZ44" s="998"/>
      <c r="DA44" s="261"/>
      <c r="DB44" s="969"/>
      <c r="DC44" s="969"/>
      <c r="DD44" s="969"/>
      <c r="DE44" s="995"/>
      <c r="DF44" s="998"/>
      <c r="DG44" s="56"/>
      <c r="DH44" s="10" t="e">
        <f>SUMIFS(#REF!,#REF!,$C44,#REF!,$E44,#REF!,$F44)</f>
        <v>#REF!</v>
      </c>
      <c r="DI44" s="29" t="e">
        <f>COUNTIFS(#REF!,$C44,#REF!,$E44,#REF!,$F44,#REF!,"&gt;=0")</f>
        <v>#REF!</v>
      </c>
      <c r="DJ44" s="10" t="e">
        <f>COUNTIFS(#REF!,$C44,#REF!,$E44,#REF!,$F44,#REF!,"лично")</f>
        <v>#REF!</v>
      </c>
      <c r="DK44" s="362" t="s">
        <v>15</v>
      </c>
    </row>
    <row r="45" spans="1:115" ht="12" customHeight="1">
      <c r="A45" s="94">
        <v>13</v>
      </c>
      <c r="B45" s="257" t="s">
        <v>1</v>
      </c>
      <c r="C45" s="255" t="s">
        <v>161</v>
      </c>
      <c r="D45" s="95"/>
      <c r="E45" s="256"/>
      <c r="F45" s="258" t="str">
        <f t="shared" si="0"/>
        <v>Сокращенное название</v>
      </c>
      <c r="G45" s="259" t="s">
        <v>325</v>
      </c>
      <c r="H45" s="469" t="str">
        <f t="shared" si="10"/>
        <v>Фамилия_1 Имя Отчество</v>
      </c>
      <c r="I45" s="260">
        <f t="shared" si="3"/>
        <v>0</v>
      </c>
      <c r="J45" s="970">
        <f t="shared" si="4"/>
        <v>0</v>
      </c>
      <c r="K45" s="260">
        <f t="shared" si="5"/>
        <v>0</v>
      </c>
      <c r="L45" s="970">
        <f t="shared" si="11"/>
        <v>0</v>
      </c>
      <c r="M45" s="974">
        <f t="shared" si="6"/>
        <v>0</v>
      </c>
      <c r="N45" s="201">
        <f t="shared" si="7"/>
        <v>0</v>
      </c>
      <c r="O45" s="972">
        <f t="shared" si="8"/>
        <v>0</v>
      </c>
      <c r="P45" s="201">
        <f t="shared" si="9"/>
        <v>0</v>
      </c>
      <c r="Q45" s="264"/>
      <c r="R45" s="969"/>
      <c r="S45" s="969"/>
      <c r="T45" s="969"/>
      <c r="U45" s="969"/>
      <c r="V45" s="262"/>
      <c r="W45" s="1001"/>
      <c r="X45" s="1001"/>
      <c r="Y45" s="1001"/>
      <c r="Z45" s="976"/>
      <c r="AA45" s="261"/>
      <c r="AB45" s="969"/>
      <c r="AC45" s="969"/>
      <c r="AD45" s="969"/>
      <c r="AE45" s="969"/>
      <c r="AF45" s="262"/>
      <c r="AG45" s="969"/>
      <c r="AH45" s="969"/>
      <c r="AI45" s="969"/>
      <c r="AJ45" s="969"/>
      <c r="AK45" s="262"/>
      <c r="AL45" s="969"/>
      <c r="AM45" s="969"/>
      <c r="AN45" s="969"/>
      <c r="AO45" s="969"/>
      <c r="AP45" s="262"/>
      <c r="AQ45" s="969"/>
      <c r="AR45" s="969"/>
      <c r="AS45" s="969"/>
      <c r="AT45" s="969"/>
      <c r="AU45" s="262"/>
      <c r="AV45" s="969"/>
      <c r="AW45" s="969"/>
      <c r="AX45" s="969"/>
      <c r="AY45" s="969"/>
      <c r="AZ45" s="265"/>
      <c r="BA45" s="969"/>
      <c r="BB45" s="969"/>
      <c r="BC45" s="969"/>
      <c r="BD45" s="976"/>
      <c r="BE45" s="195"/>
      <c r="BF45" s="969"/>
      <c r="BG45" s="969"/>
      <c r="BH45" s="969"/>
      <c r="BI45" s="969"/>
      <c r="BJ45" s="65"/>
      <c r="BK45" s="969"/>
      <c r="BL45" s="969"/>
      <c r="BM45" s="969"/>
      <c r="BN45" s="969"/>
      <c r="BO45" s="261"/>
      <c r="BP45" s="969"/>
      <c r="BQ45" s="969"/>
      <c r="BR45" s="969"/>
      <c r="BS45" s="969"/>
      <c r="BT45" s="262"/>
      <c r="BU45" s="969"/>
      <c r="BV45" s="969"/>
      <c r="BW45" s="969"/>
      <c r="BX45" s="969"/>
      <c r="BY45" s="186"/>
      <c r="BZ45" s="969"/>
      <c r="CA45" s="969"/>
      <c r="CB45" s="969"/>
      <c r="CC45" s="969"/>
      <c r="CD45" s="840"/>
      <c r="CE45" s="969"/>
      <c r="CF45" s="969"/>
      <c r="CG45" s="969"/>
      <c r="CH45" s="969"/>
      <c r="CI45" s="261"/>
      <c r="CJ45" s="969"/>
      <c r="CK45" s="969"/>
      <c r="CL45" s="969"/>
      <c r="CM45" s="995"/>
      <c r="CN45" s="998"/>
      <c r="CO45" s="261"/>
      <c r="CP45" s="969"/>
      <c r="CQ45" s="969"/>
      <c r="CR45" s="969"/>
      <c r="CS45" s="995"/>
      <c r="CT45" s="998"/>
      <c r="CU45" s="261"/>
      <c r="CV45" s="969"/>
      <c r="CW45" s="969"/>
      <c r="CX45" s="969"/>
      <c r="CY45" s="995"/>
      <c r="CZ45" s="998"/>
      <c r="DA45" s="261"/>
      <c r="DB45" s="969"/>
      <c r="DC45" s="969"/>
      <c r="DD45" s="969"/>
      <c r="DE45" s="995"/>
      <c r="DF45" s="998"/>
      <c r="DG45" s="56"/>
      <c r="DH45" s="10" t="e">
        <f>SUMIFS(#REF!,#REF!,$C45,#REF!,$E45,#REF!,$F45)</f>
        <v>#REF!</v>
      </c>
      <c r="DI45" s="29" t="e">
        <f>COUNTIFS(#REF!,$C45,#REF!,$E45,#REF!,$F45,#REF!,"&gt;=0")</f>
        <v>#REF!</v>
      </c>
      <c r="DJ45" s="10" t="e">
        <f>COUNTIFS(#REF!,$C45,#REF!,$E45,#REF!,$F45,#REF!,"лично")</f>
        <v>#REF!</v>
      </c>
    </row>
    <row r="46" spans="1:115" ht="12" customHeight="1">
      <c r="A46" s="94">
        <v>14</v>
      </c>
      <c r="B46" s="257" t="s">
        <v>1</v>
      </c>
      <c r="C46" s="255" t="s">
        <v>161</v>
      </c>
      <c r="D46" s="95"/>
      <c r="E46" s="256"/>
      <c r="F46" s="258" t="str">
        <f t="shared" si="0"/>
        <v>Сокращенное название</v>
      </c>
      <c r="G46" s="259" t="s">
        <v>325</v>
      </c>
      <c r="H46" s="469" t="str">
        <f t="shared" si="10"/>
        <v>Фамилия_1 Имя Отчество</v>
      </c>
      <c r="I46" s="260">
        <f t="shared" si="3"/>
        <v>0</v>
      </c>
      <c r="J46" s="970">
        <f t="shared" si="4"/>
        <v>0</v>
      </c>
      <c r="K46" s="260">
        <f t="shared" si="5"/>
        <v>0</v>
      </c>
      <c r="L46" s="970">
        <f t="shared" si="11"/>
        <v>0</v>
      </c>
      <c r="M46" s="974">
        <f t="shared" si="6"/>
        <v>0</v>
      </c>
      <c r="N46" s="201">
        <f t="shared" si="7"/>
        <v>0</v>
      </c>
      <c r="O46" s="972">
        <f t="shared" si="8"/>
        <v>0</v>
      </c>
      <c r="P46" s="201">
        <f t="shared" si="9"/>
        <v>0</v>
      </c>
      <c r="Q46" s="264"/>
      <c r="R46" s="969"/>
      <c r="S46" s="969"/>
      <c r="T46" s="969"/>
      <c r="U46" s="969"/>
      <c r="V46" s="262"/>
      <c r="W46" s="1001"/>
      <c r="X46" s="1001"/>
      <c r="Y46" s="1001"/>
      <c r="Z46" s="976"/>
      <c r="AA46" s="261"/>
      <c r="AB46" s="969"/>
      <c r="AC46" s="969"/>
      <c r="AD46" s="969"/>
      <c r="AE46" s="969"/>
      <c r="AF46" s="262"/>
      <c r="AG46" s="969"/>
      <c r="AH46" s="969"/>
      <c r="AI46" s="969"/>
      <c r="AJ46" s="969"/>
      <c r="AK46" s="262"/>
      <c r="AL46" s="969"/>
      <c r="AM46" s="969"/>
      <c r="AN46" s="969"/>
      <c r="AO46" s="969"/>
      <c r="AP46" s="262"/>
      <c r="AQ46" s="969"/>
      <c r="AR46" s="969"/>
      <c r="AS46" s="969"/>
      <c r="AT46" s="969"/>
      <c r="AU46" s="262"/>
      <c r="AV46" s="969"/>
      <c r="AW46" s="969"/>
      <c r="AX46" s="969"/>
      <c r="AY46" s="969"/>
      <c r="AZ46" s="265"/>
      <c r="BA46" s="969"/>
      <c r="BB46" s="969"/>
      <c r="BC46" s="969"/>
      <c r="BD46" s="976"/>
      <c r="BE46" s="195"/>
      <c r="BF46" s="969"/>
      <c r="BG46" s="969"/>
      <c r="BH46" s="969"/>
      <c r="BI46" s="969"/>
      <c r="BJ46" s="65"/>
      <c r="BK46" s="969"/>
      <c r="BL46" s="969"/>
      <c r="BM46" s="969"/>
      <c r="BN46" s="969"/>
      <c r="BO46" s="261"/>
      <c r="BP46" s="969"/>
      <c r="BQ46" s="969"/>
      <c r="BR46" s="969"/>
      <c r="BS46" s="969"/>
      <c r="BT46" s="262"/>
      <c r="BU46" s="969"/>
      <c r="BV46" s="969"/>
      <c r="BW46" s="969"/>
      <c r="BX46" s="969"/>
      <c r="BY46" s="186"/>
      <c r="BZ46" s="969"/>
      <c r="CA46" s="969"/>
      <c r="CB46" s="969"/>
      <c r="CC46" s="969"/>
      <c r="CD46" s="840"/>
      <c r="CE46" s="969"/>
      <c r="CF46" s="969"/>
      <c r="CG46" s="969"/>
      <c r="CH46" s="969"/>
      <c r="CI46" s="261"/>
      <c r="CJ46" s="969"/>
      <c r="CK46" s="969"/>
      <c r="CL46" s="969"/>
      <c r="CM46" s="995"/>
      <c r="CN46" s="998"/>
      <c r="CO46" s="261"/>
      <c r="CP46" s="969"/>
      <c r="CQ46" s="969"/>
      <c r="CR46" s="969"/>
      <c r="CS46" s="995"/>
      <c r="CT46" s="998"/>
      <c r="CU46" s="261"/>
      <c r="CV46" s="969"/>
      <c r="CW46" s="969"/>
      <c r="CX46" s="969"/>
      <c r="CY46" s="995"/>
      <c r="CZ46" s="998"/>
      <c r="DA46" s="261"/>
      <c r="DB46" s="969"/>
      <c r="DC46" s="969"/>
      <c r="DD46" s="969"/>
      <c r="DE46" s="995"/>
      <c r="DF46" s="998"/>
      <c r="DG46" s="56"/>
      <c r="DH46" s="10" t="e">
        <f>SUMIFS(#REF!,#REF!,$C46,#REF!,$E46,#REF!,$F46)</f>
        <v>#REF!</v>
      </c>
      <c r="DI46" s="29" t="e">
        <f>COUNTIFS(#REF!,$C46,#REF!,$E46,#REF!,$F46,#REF!,"&gt;=0")</f>
        <v>#REF!</v>
      </c>
      <c r="DJ46" s="10" t="e">
        <f>COUNTIFS(#REF!,$C46,#REF!,$E46,#REF!,$F46,#REF!,"лично")</f>
        <v>#REF!</v>
      </c>
    </row>
    <row r="47" spans="1:115" ht="12" customHeight="1">
      <c r="A47" s="94">
        <v>15</v>
      </c>
      <c r="B47" s="257" t="s">
        <v>1</v>
      </c>
      <c r="C47" s="255" t="s">
        <v>161</v>
      </c>
      <c r="D47" s="95"/>
      <c r="E47" s="256"/>
      <c r="F47" s="258" t="str">
        <f t="shared" si="0"/>
        <v>Сокращенное название</v>
      </c>
      <c r="G47" s="259" t="s">
        <v>325</v>
      </c>
      <c r="H47" s="469" t="str">
        <f t="shared" si="10"/>
        <v>Фамилия_1 Имя Отчество</v>
      </c>
      <c r="I47" s="260">
        <f t="shared" si="3"/>
        <v>0</v>
      </c>
      <c r="J47" s="970">
        <f t="shared" si="4"/>
        <v>0</v>
      </c>
      <c r="K47" s="260">
        <f t="shared" si="5"/>
        <v>0</v>
      </c>
      <c r="L47" s="970">
        <f t="shared" si="11"/>
        <v>0</v>
      </c>
      <c r="M47" s="974">
        <f t="shared" si="6"/>
        <v>0</v>
      </c>
      <c r="N47" s="201">
        <f t="shared" si="7"/>
        <v>0</v>
      </c>
      <c r="O47" s="972">
        <f t="shared" si="8"/>
        <v>0</v>
      </c>
      <c r="P47" s="201">
        <f t="shared" si="9"/>
        <v>0</v>
      </c>
      <c r="Q47" s="264"/>
      <c r="R47" s="969"/>
      <c r="S47" s="969"/>
      <c r="T47" s="969"/>
      <c r="U47" s="969"/>
      <c r="V47" s="262"/>
      <c r="W47" s="1001"/>
      <c r="X47" s="1001"/>
      <c r="Y47" s="1001"/>
      <c r="Z47" s="976"/>
      <c r="AA47" s="261"/>
      <c r="AB47" s="969"/>
      <c r="AC47" s="969"/>
      <c r="AD47" s="969"/>
      <c r="AE47" s="969"/>
      <c r="AF47" s="262"/>
      <c r="AG47" s="969"/>
      <c r="AH47" s="969"/>
      <c r="AI47" s="969"/>
      <c r="AJ47" s="969"/>
      <c r="AK47" s="262"/>
      <c r="AL47" s="969"/>
      <c r="AM47" s="969"/>
      <c r="AN47" s="969"/>
      <c r="AO47" s="969"/>
      <c r="AP47" s="262"/>
      <c r="AQ47" s="969"/>
      <c r="AR47" s="969"/>
      <c r="AS47" s="969"/>
      <c r="AT47" s="969"/>
      <c r="AU47" s="262"/>
      <c r="AV47" s="969"/>
      <c r="AW47" s="969"/>
      <c r="AX47" s="969"/>
      <c r="AY47" s="969"/>
      <c r="AZ47" s="265"/>
      <c r="BA47" s="969"/>
      <c r="BB47" s="969"/>
      <c r="BC47" s="969"/>
      <c r="BD47" s="976"/>
      <c r="BE47" s="195"/>
      <c r="BF47" s="969"/>
      <c r="BG47" s="969"/>
      <c r="BH47" s="969"/>
      <c r="BI47" s="969"/>
      <c r="BJ47" s="65"/>
      <c r="BK47" s="969"/>
      <c r="BL47" s="969"/>
      <c r="BM47" s="969"/>
      <c r="BN47" s="969"/>
      <c r="BO47" s="261"/>
      <c r="BP47" s="969"/>
      <c r="BQ47" s="969"/>
      <c r="BR47" s="969"/>
      <c r="BS47" s="969"/>
      <c r="BT47" s="262"/>
      <c r="BU47" s="969"/>
      <c r="BV47" s="969"/>
      <c r="BW47" s="969"/>
      <c r="BX47" s="969"/>
      <c r="BY47" s="186"/>
      <c r="BZ47" s="969"/>
      <c r="CA47" s="969"/>
      <c r="CB47" s="969"/>
      <c r="CC47" s="969"/>
      <c r="CD47" s="840"/>
      <c r="CE47" s="969"/>
      <c r="CF47" s="969"/>
      <c r="CG47" s="969"/>
      <c r="CH47" s="969"/>
      <c r="CI47" s="261"/>
      <c r="CJ47" s="969"/>
      <c r="CK47" s="969"/>
      <c r="CL47" s="969"/>
      <c r="CM47" s="995"/>
      <c r="CN47" s="998"/>
      <c r="CO47" s="261"/>
      <c r="CP47" s="969"/>
      <c r="CQ47" s="969"/>
      <c r="CR47" s="969"/>
      <c r="CS47" s="995"/>
      <c r="CT47" s="998"/>
      <c r="CU47" s="261"/>
      <c r="CV47" s="969"/>
      <c r="CW47" s="969"/>
      <c r="CX47" s="969"/>
      <c r="CY47" s="995"/>
      <c r="CZ47" s="998"/>
      <c r="DA47" s="261"/>
      <c r="DB47" s="969"/>
      <c r="DC47" s="969"/>
      <c r="DD47" s="969"/>
      <c r="DE47" s="995"/>
      <c r="DF47" s="998"/>
      <c r="DG47" s="56"/>
      <c r="DH47" s="10" t="e">
        <f>SUMIFS(#REF!,#REF!,$C47,#REF!,$E47,#REF!,$F47)</f>
        <v>#REF!</v>
      </c>
      <c r="DI47" s="29" t="e">
        <f>COUNTIFS(#REF!,$C47,#REF!,$E47,#REF!,$F47,#REF!,"&gt;=0")</f>
        <v>#REF!</v>
      </c>
      <c r="DJ47" s="10" t="e">
        <f>COUNTIFS(#REF!,$C47,#REF!,$E47,#REF!,$F47,#REF!,"лично")</f>
        <v>#REF!</v>
      </c>
    </row>
    <row r="48" spans="1:115" ht="12" customHeight="1">
      <c r="A48" s="94">
        <v>16</v>
      </c>
      <c r="B48" s="257" t="s">
        <v>1</v>
      </c>
      <c r="C48" s="255" t="s">
        <v>161</v>
      </c>
      <c r="D48" s="95"/>
      <c r="E48" s="256"/>
      <c r="F48" s="258" t="str">
        <f t="shared" si="0"/>
        <v>Сокращенное название</v>
      </c>
      <c r="G48" s="259" t="s">
        <v>325</v>
      </c>
      <c r="H48" s="469" t="str">
        <f t="shared" si="10"/>
        <v>Фамилия_1 Имя Отчество</v>
      </c>
      <c r="I48" s="260">
        <f t="shared" si="3"/>
        <v>0</v>
      </c>
      <c r="J48" s="970">
        <f t="shared" si="4"/>
        <v>0</v>
      </c>
      <c r="K48" s="260">
        <f t="shared" si="5"/>
        <v>0</v>
      </c>
      <c r="L48" s="970">
        <f t="shared" si="11"/>
        <v>0</v>
      </c>
      <c r="M48" s="974">
        <f t="shared" si="6"/>
        <v>0</v>
      </c>
      <c r="N48" s="201">
        <f t="shared" si="7"/>
        <v>0</v>
      </c>
      <c r="O48" s="972">
        <f t="shared" si="8"/>
        <v>0</v>
      </c>
      <c r="P48" s="201">
        <f t="shared" si="9"/>
        <v>0</v>
      </c>
      <c r="Q48" s="264"/>
      <c r="R48" s="969"/>
      <c r="S48" s="969"/>
      <c r="T48" s="969"/>
      <c r="U48" s="969"/>
      <c r="V48" s="262"/>
      <c r="W48" s="1001"/>
      <c r="X48" s="1001"/>
      <c r="Y48" s="1001"/>
      <c r="Z48" s="976"/>
      <c r="AA48" s="261"/>
      <c r="AB48" s="969"/>
      <c r="AC48" s="969"/>
      <c r="AD48" s="969"/>
      <c r="AE48" s="969"/>
      <c r="AF48" s="262"/>
      <c r="AG48" s="969"/>
      <c r="AH48" s="969"/>
      <c r="AI48" s="969"/>
      <c r="AJ48" s="969"/>
      <c r="AK48" s="262"/>
      <c r="AL48" s="969"/>
      <c r="AM48" s="969"/>
      <c r="AN48" s="969"/>
      <c r="AO48" s="969"/>
      <c r="AP48" s="262"/>
      <c r="AQ48" s="969"/>
      <c r="AR48" s="969"/>
      <c r="AS48" s="969"/>
      <c r="AT48" s="969"/>
      <c r="AU48" s="262"/>
      <c r="AV48" s="969"/>
      <c r="AW48" s="969"/>
      <c r="AX48" s="969"/>
      <c r="AY48" s="969"/>
      <c r="AZ48" s="265"/>
      <c r="BA48" s="969"/>
      <c r="BB48" s="969"/>
      <c r="BC48" s="969"/>
      <c r="BD48" s="976"/>
      <c r="BE48" s="195"/>
      <c r="BF48" s="969"/>
      <c r="BG48" s="969"/>
      <c r="BH48" s="969"/>
      <c r="BI48" s="969"/>
      <c r="BJ48" s="65"/>
      <c r="BK48" s="969"/>
      <c r="BL48" s="969"/>
      <c r="BM48" s="969"/>
      <c r="BN48" s="969"/>
      <c r="BO48" s="261"/>
      <c r="BP48" s="969"/>
      <c r="BQ48" s="969"/>
      <c r="BR48" s="969"/>
      <c r="BS48" s="969"/>
      <c r="BT48" s="262"/>
      <c r="BU48" s="969"/>
      <c r="BV48" s="969"/>
      <c r="BW48" s="969"/>
      <c r="BX48" s="969"/>
      <c r="BY48" s="186"/>
      <c r="BZ48" s="969"/>
      <c r="CA48" s="969"/>
      <c r="CB48" s="969"/>
      <c r="CC48" s="969"/>
      <c r="CD48" s="840"/>
      <c r="CE48" s="969"/>
      <c r="CF48" s="969"/>
      <c r="CG48" s="969"/>
      <c r="CH48" s="969"/>
      <c r="CI48" s="261"/>
      <c r="CJ48" s="969"/>
      <c r="CK48" s="969"/>
      <c r="CL48" s="969"/>
      <c r="CM48" s="995"/>
      <c r="CN48" s="998"/>
      <c r="CO48" s="261"/>
      <c r="CP48" s="969"/>
      <c r="CQ48" s="969"/>
      <c r="CR48" s="969"/>
      <c r="CS48" s="995"/>
      <c r="CT48" s="998"/>
      <c r="CU48" s="261"/>
      <c r="CV48" s="969"/>
      <c r="CW48" s="969"/>
      <c r="CX48" s="969"/>
      <c r="CY48" s="995"/>
      <c r="CZ48" s="998"/>
      <c r="DA48" s="261"/>
      <c r="DB48" s="969"/>
      <c r="DC48" s="969"/>
      <c r="DD48" s="969"/>
      <c r="DE48" s="995"/>
      <c r="DF48" s="998"/>
      <c r="DG48" s="56"/>
      <c r="DH48" s="10" t="e">
        <f>SUMIFS(#REF!,#REF!,$C48,#REF!,$E48,#REF!,$F48)</f>
        <v>#REF!</v>
      </c>
      <c r="DI48" s="29" t="e">
        <f>COUNTIFS(#REF!,$C48,#REF!,$E48,#REF!,$F48,#REF!,"&gt;=0")</f>
        <v>#REF!</v>
      </c>
      <c r="DJ48" s="10" t="e">
        <f>COUNTIFS(#REF!,$C48,#REF!,$E48,#REF!,$F48,#REF!,"лично")</f>
        <v>#REF!</v>
      </c>
    </row>
    <row r="49" spans="1:114" ht="12" customHeight="1">
      <c r="A49" s="94">
        <v>17</v>
      </c>
      <c r="B49" s="66" t="s">
        <v>35</v>
      </c>
      <c r="C49" s="255" t="s">
        <v>161</v>
      </c>
      <c r="D49" s="95"/>
      <c r="E49" s="256"/>
      <c r="F49" s="258" t="str">
        <f t="shared" si="0"/>
        <v>Сокращенное название</v>
      </c>
      <c r="G49" s="259" t="s">
        <v>325</v>
      </c>
      <c r="H49" s="469" t="str">
        <f t="shared" si="10"/>
        <v>Фамилия_1 Имя Отчество</v>
      </c>
      <c r="I49" s="260">
        <f t="shared" si="3"/>
        <v>0</v>
      </c>
      <c r="J49" s="970">
        <f t="shared" si="4"/>
        <v>0</v>
      </c>
      <c r="K49" s="260">
        <f t="shared" si="5"/>
        <v>0</v>
      </c>
      <c r="L49" s="970">
        <f t="shared" si="11"/>
        <v>0</v>
      </c>
      <c r="M49" s="974">
        <f t="shared" si="6"/>
        <v>0</v>
      </c>
      <c r="N49" s="201">
        <f t="shared" si="7"/>
        <v>0</v>
      </c>
      <c r="O49" s="972">
        <f t="shared" si="8"/>
        <v>0</v>
      </c>
      <c r="P49" s="201">
        <f t="shared" si="9"/>
        <v>0</v>
      </c>
      <c r="Q49" s="264"/>
      <c r="R49" s="969"/>
      <c r="S49" s="969"/>
      <c r="T49" s="969"/>
      <c r="U49" s="969"/>
      <c r="V49" s="262"/>
      <c r="W49" s="1001"/>
      <c r="X49" s="1001"/>
      <c r="Y49" s="1001"/>
      <c r="Z49" s="976"/>
      <c r="AA49" s="261"/>
      <c r="AB49" s="969"/>
      <c r="AC49" s="969"/>
      <c r="AD49" s="969"/>
      <c r="AE49" s="969"/>
      <c r="AF49" s="262"/>
      <c r="AG49" s="969"/>
      <c r="AH49" s="969"/>
      <c r="AI49" s="969"/>
      <c r="AJ49" s="969"/>
      <c r="AK49" s="262"/>
      <c r="AL49" s="969"/>
      <c r="AM49" s="969"/>
      <c r="AN49" s="969"/>
      <c r="AO49" s="969"/>
      <c r="AP49" s="262"/>
      <c r="AQ49" s="969"/>
      <c r="AR49" s="969"/>
      <c r="AS49" s="969"/>
      <c r="AT49" s="969"/>
      <c r="AU49" s="262"/>
      <c r="AV49" s="969"/>
      <c r="AW49" s="969"/>
      <c r="AX49" s="969"/>
      <c r="AY49" s="969"/>
      <c r="AZ49" s="265"/>
      <c r="BA49" s="969"/>
      <c r="BB49" s="969"/>
      <c r="BC49" s="969"/>
      <c r="BD49" s="976"/>
      <c r="BE49" s="195"/>
      <c r="BF49" s="969"/>
      <c r="BG49" s="969"/>
      <c r="BH49" s="969"/>
      <c r="BI49" s="969"/>
      <c r="BJ49" s="65"/>
      <c r="BK49" s="969"/>
      <c r="BL49" s="969"/>
      <c r="BM49" s="969"/>
      <c r="BN49" s="969"/>
      <c r="BO49" s="261"/>
      <c r="BP49" s="969"/>
      <c r="BQ49" s="969"/>
      <c r="BR49" s="969"/>
      <c r="BS49" s="969"/>
      <c r="BT49" s="262"/>
      <c r="BU49" s="969"/>
      <c r="BV49" s="969"/>
      <c r="BW49" s="969"/>
      <c r="BX49" s="969"/>
      <c r="BY49" s="186"/>
      <c r="BZ49" s="969"/>
      <c r="CA49" s="969"/>
      <c r="CB49" s="969"/>
      <c r="CC49" s="969"/>
      <c r="CD49" s="840"/>
      <c r="CE49" s="969"/>
      <c r="CF49" s="969"/>
      <c r="CG49" s="969"/>
      <c r="CH49" s="969"/>
      <c r="CI49" s="261"/>
      <c r="CJ49" s="969"/>
      <c r="CK49" s="969"/>
      <c r="CL49" s="969"/>
      <c r="CM49" s="995"/>
      <c r="CN49" s="998"/>
      <c r="CO49" s="261"/>
      <c r="CP49" s="969"/>
      <c r="CQ49" s="969"/>
      <c r="CR49" s="969"/>
      <c r="CS49" s="995"/>
      <c r="CT49" s="998"/>
      <c r="CU49" s="261"/>
      <c r="CV49" s="969"/>
      <c r="CW49" s="969"/>
      <c r="CX49" s="969"/>
      <c r="CY49" s="995"/>
      <c r="CZ49" s="998"/>
      <c r="DA49" s="261"/>
      <c r="DB49" s="969"/>
      <c r="DC49" s="969"/>
      <c r="DD49" s="969"/>
      <c r="DE49" s="995"/>
      <c r="DF49" s="998"/>
      <c r="DG49" s="56"/>
      <c r="DH49" s="10" t="e">
        <f>SUMIFS(#REF!,#REF!,$C49,#REF!,$E49,#REF!,$F49)</f>
        <v>#REF!</v>
      </c>
      <c r="DI49" s="29" t="e">
        <f>COUNTIFS(#REF!,$C49,#REF!,$E49,#REF!,$F49,#REF!,"&gt;=0")</f>
        <v>#REF!</v>
      </c>
      <c r="DJ49" s="10" t="e">
        <f>COUNTIFS(#REF!,$C49,#REF!,$E49,#REF!,$F49,#REF!,"лично")</f>
        <v>#REF!</v>
      </c>
    </row>
    <row r="50" spans="1:114" ht="12" customHeight="1">
      <c r="A50" s="94">
        <v>18</v>
      </c>
      <c r="B50" s="66" t="s">
        <v>10</v>
      </c>
      <c r="C50" s="255" t="s">
        <v>161</v>
      </c>
      <c r="D50" s="95"/>
      <c r="E50" s="256"/>
      <c r="F50" s="258" t="str">
        <f t="shared" si="0"/>
        <v>Сокращенное название</v>
      </c>
      <c r="G50" s="259" t="s">
        <v>325</v>
      </c>
      <c r="H50" s="469" t="str">
        <f t="shared" si="10"/>
        <v>Фамилия_1 Имя Отчество</v>
      </c>
      <c r="I50" s="260">
        <f t="shared" si="3"/>
        <v>0</v>
      </c>
      <c r="J50" s="970">
        <f t="shared" si="4"/>
        <v>0</v>
      </c>
      <c r="K50" s="260">
        <f t="shared" si="5"/>
        <v>0</v>
      </c>
      <c r="L50" s="970">
        <f t="shared" si="11"/>
        <v>0</v>
      </c>
      <c r="M50" s="974">
        <f t="shared" si="6"/>
        <v>0</v>
      </c>
      <c r="N50" s="201">
        <f t="shared" si="7"/>
        <v>0</v>
      </c>
      <c r="O50" s="972">
        <f t="shared" si="8"/>
        <v>0</v>
      </c>
      <c r="P50" s="201">
        <f t="shared" si="9"/>
        <v>0</v>
      </c>
      <c r="Q50" s="264"/>
      <c r="R50" s="969"/>
      <c r="S50" s="969"/>
      <c r="T50" s="969"/>
      <c r="U50" s="969"/>
      <c r="V50" s="262"/>
      <c r="W50" s="1001"/>
      <c r="X50" s="1001"/>
      <c r="Y50" s="1001"/>
      <c r="Z50" s="976"/>
      <c r="AA50" s="261"/>
      <c r="AB50" s="969"/>
      <c r="AC50" s="969"/>
      <c r="AD50" s="969"/>
      <c r="AE50" s="969"/>
      <c r="AF50" s="262"/>
      <c r="AG50" s="969"/>
      <c r="AH50" s="969"/>
      <c r="AI50" s="969"/>
      <c r="AJ50" s="969"/>
      <c r="AK50" s="262"/>
      <c r="AL50" s="969"/>
      <c r="AM50" s="969"/>
      <c r="AN50" s="969"/>
      <c r="AO50" s="969"/>
      <c r="AP50" s="262"/>
      <c r="AQ50" s="969"/>
      <c r="AR50" s="969"/>
      <c r="AS50" s="969"/>
      <c r="AT50" s="969"/>
      <c r="AU50" s="262"/>
      <c r="AV50" s="969"/>
      <c r="AW50" s="969"/>
      <c r="AX50" s="969"/>
      <c r="AY50" s="969"/>
      <c r="AZ50" s="265"/>
      <c r="BA50" s="969"/>
      <c r="BB50" s="969"/>
      <c r="BC50" s="969"/>
      <c r="BD50" s="976"/>
      <c r="BE50" s="195"/>
      <c r="BF50" s="969"/>
      <c r="BG50" s="969"/>
      <c r="BH50" s="969"/>
      <c r="BI50" s="969"/>
      <c r="BJ50" s="65"/>
      <c r="BK50" s="969"/>
      <c r="BL50" s="969"/>
      <c r="BM50" s="969"/>
      <c r="BN50" s="969"/>
      <c r="BO50" s="261"/>
      <c r="BP50" s="969"/>
      <c r="BQ50" s="969"/>
      <c r="BR50" s="969"/>
      <c r="BS50" s="969"/>
      <c r="BT50" s="262"/>
      <c r="BU50" s="969"/>
      <c r="BV50" s="969"/>
      <c r="BW50" s="969"/>
      <c r="BX50" s="969"/>
      <c r="BY50" s="186"/>
      <c r="BZ50" s="969"/>
      <c r="CA50" s="969"/>
      <c r="CB50" s="969"/>
      <c r="CC50" s="969"/>
      <c r="CD50" s="840"/>
      <c r="CE50" s="969"/>
      <c r="CF50" s="969"/>
      <c r="CG50" s="969"/>
      <c r="CH50" s="969"/>
      <c r="CI50" s="261"/>
      <c r="CJ50" s="969"/>
      <c r="CK50" s="969"/>
      <c r="CL50" s="969"/>
      <c r="CM50" s="995"/>
      <c r="CN50" s="998"/>
      <c r="CO50" s="261"/>
      <c r="CP50" s="969"/>
      <c r="CQ50" s="969"/>
      <c r="CR50" s="969"/>
      <c r="CS50" s="995"/>
      <c r="CT50" s="998"/>
      <c r="CU50" s="261"/>
      <c r="CV50" s="969"/>
      <c r="CW50" s="969"/>
      <c r="CX50" s="969"/>
      <c r="CY50" s="995"/>
      <c r="CZ50" s="998"/>
      <c r="DA50" s="261"/>
      <c r="DB50" s="969"/>
      <c r="DC50" s="969"/>
      <c r="DD50" s="969"/>
      <c r="DE50" s="995"/>
      <c r="DF50" s="998"/>
      <c r="DG50" s="56"/>
      <c r="DH50" s="10" t="e">
        <f>SUMIFS(#REF!,#REF!,$C50,#REF!,$E50,#REF!,$F50)</f>
        <v>#REF!</v>
      </c>
      <c r="DI50" s="29" t="e">
        <f>COUNTIFS(#REF!,$C50,#REF!,$E50,#REF!,$F50,#REF!,"&gt;=0")</f>
        <v>#REF!</v>
      </c>
      <c r="DJ50" s="10" t="e">
        <f>COUNTIFS(#REF!,$C50,#REF!,$E50,#REF!,$F50,#REF!,"лично")</f>
        <v>#REF!</v>
      </c>
    </row>
    <row r="51" spans="1:114" ht="12" customHeight="1">
      <c r="A51" s="94">
        <v>19</v>
      </c>
      <c r="B51" s="66" t="s">
        <v>11</v>
      </c>
      <c r="C51" s="255" t="s">
        <v>161</v>
      </c>
      <c r="D51" s="95"/>
      <c r="E51" s="256"/>
      <c r="F51" s="258" t="str">
        <f t="shared" si="0"/>
        <v>Сокращенное название</v>
      </c>
      <c r="G51" s="259" t="s">
        <v>325</v>
      </c>
      <c r="H51" s="469" t="str">
        <f t="shared" si="10"/>
        <v>Фамилия_1 Имя Отчество</v>
      </c>
      <c r="I51" s="260">
        <f t="shared" si="3"/>
        <v>0</v>
      </c>
      <c r="J51" s="970">
        <f t="shared" si="4"/>
        <v>0</v>
      </c>
      <c r="K51" s="260">
        <f t="shared" si="5"/>
        <v>0</v>
      </c>
      <c r="L51" s="970">
        <f t="shared" si="11"/>
        <v>0</v>
      </c>
      <c r="M51" s="974">
        <f t="shared" si="6"/>
        <v>0</v>
      </c>
      <c r="N51" s="201">
        <f t="shared" si="7"/>
        <v>0</v>
      </c>
      <c r="O51" s="972">
        <f t="shared" si="8"/>
        <v>0</v>
      </c>
      <c r="P51" s="201">
        <f t="shared" si="9"/>
        <v>0</v>
      </c>
      <c r="Q51" s="264"/>
      <c r="R51" s="969"/>
      <c r="S51" s="969"/>
      <c r="T51" s="969"/>
      <c r="U51" s="969"/>
      <c r="V51" s="262"/>
      <c r="W51" s="1001"/>
      <c r="X51" s="1001"/>
      <c r="Y51" s="1001"/>
      <c r="Z51" s="976"/>
      <c r="AA51" s="261"/>
      <c r="AB51" s="969"/>
      <c r="AC51" s="969"/>
      <c r="AD51" s="969"/>
      <c r="AE51" s="969"/>
      <c r="AF51" s="262"/>
      <c r="AG51" s="969"/>
      <c r="AH51" s="969"/>
      <c r="AI51" s="969"/>
      <c r="AJ51" s="969"/>
      <c r="AK51" s="262"/>
      <c r="AL51" s="969"/>
      <c r="AM51" s="969"/>
      <c r="AN51" s="969"/>
      <c r="AO51" s="969"/>
      <c r="AP51" s="262"/>
      <c r="AQ51" s="969"/>
      <c r="AR51" s="969"/>
      <c r="AS51" s="969"/>
      <c r="AT51" s="969"/>
      <c r="AU51" s="262"/>
      <c r="AV51" s="969"/>
      <c r="AW51" s="969"/>
      <c r="AX51" s="969"/>
      <c r="AY51" s="969"/>
      <c r="AZ51" s="265"/>
      <c r="BA51" s="969"/>
      <c r="BB51" s="969"/>
      <c r="BC51" s="969"/>
      <c r="BD51" s="976"/>
      <c r="BE51" s="195"/>
      <c r="BF51" s="969"/>
      <c r="BG51" s="969"/>
      <c r="BH51" s="969"/>
      <c r="BI51" s="969"/>
      <c r="BJ51" s="65"/>
      <c r="BK51" s="969"/>
      <c r="BL51" s="969"/>
      <c r="BM51" s="969"/>
      <c r="BN51" s="969"/>
      <c r="BO51" s="261"/>
      <c r="BP51" s="969"/>
      <c r="BQ51" s="969"/>
      <c r="BR51" s="969"/>
      <c r="BS51" s="969"/>
      <c r="BT51" s="262"/>
      <c r="BU51" s="969"/>
      <c r="BV51" s="969"/>
      <c r="BW51" s="969"/>
      <c r="BX51" s="969"/>
      <c r="BY51" s="186"/>
      <c r="BZ51" s="969"/>
      <c r="CA51" s="969"/>
      <c r="CB51" s="969"/>
      <c r="CC51" s="969"/>
      <c r="CD51" s="840"/>
      <c r="CE51" s="969"/>
      <c r="CF51" s="969"/>
      <c r="CG51" s="969"/>
      <c r="CH51" s="969"/>
      <c r="CI51" s="261"/>
      <c r="CJ51" s="969"/>
      <c r="CK51" s="969"/>
      <c r="CL51" s="969"/>
      <c r="CM51" s="995"/>
      <c r="CN51" s="998"/>
      <c r="CO51" s="261"/>
      <c r="CP51" s="969"/>
      <c r="CQ51" s="969"/>
      <c r="CR51" s="969"/>
      <c r="CS51" s="995"/>
      <c r="CT51" s="998"/>
      <c r="CU51" s="261"/>
      <c r="CV51" s="969"/>
      <c r="CW51" s="969"/>
      <c r="CX51" s="969"/>
      <c r="CY51" s="995"/>
      <c r="CZ51" s="998"/>
      <c r="DA51" s="261"/>
      <c r="DB51" s="969"/>
      <c r="DC51" s="969"/>
      <c r="DD51" s="969"/>
      <c r="DE51" s="995"/>
      <c r="DF51" s="998"/>
      <c r="DG51" s="56"/>
      <c r="DH51" s="10" t="e">
        <f>SUMIFS(#REF!,#REF!,$C51,#REF!,$E51,#REF!,$F51)</f>
        <v>#REF!</v>
      </c>
      <c r="DI51" s="29" t="e">
        <f>COUNTIFS(#REF!,$C51,#REF!,$E51,#REF!,$F51,#REF!,"&gt;=0")</f>
        <v>#REF!</v>
      </c>
      <c r="DJ51" s="10" t="e">
        <f>COUNTIFS(#REF!,$C51,#REF!,$E51,#REF!,$F51,#REF!,"лично")</f>
        <v>#REF!</v>
      </c>
    </row>
    <row r="52" spans="1:114" ht="12" customHeight="1">
      <c r="A52" s="94">
        <v>20</v>
      </c>
      <c r="B52" s="257" t="s">
        <v>25</v>
      </c>
      <c r="C52" s="255" t="s">
        <v>161</v>
      </c>
      <c r="D52" s="95"/>
      <c r="E52" s="256"/>
      <c r="F52" s="258" t="str">
        <f t="shared" si="0"/>
        <v>Сокращенное название</v>
      </c>
      <c r="G52" s="259" t="s">
        <v>325</v>
      </c>
      <c r="H52" s="469" t="str">
        <f t="shared" si="10"/>
        <v>Фамилия_1 Имя Отчество</v>
      </c>
      <c r="I52" s="260">
        <f t="shared" si="3"/>
        <v>0</v>
      </c>
      <c r="J52" s="970">
        <f t="shared" si="4"/>
        <v>0</v>
      </c>
      <c r="K52" s="260">
        <f t="shared" si="5"/>
        <v>0</v>
      </c>
      <c r="L52" s="970">
        <f t="shared" si="11"/>
        <v>0</v>
      </c>
      <c r="M52" s="974">
        <f t="shared" si="6"/>
        <v>0</v>
      </c>
      <c r="N52" s="201">
        <f t="shared" si="7"/>
        <v>0</v>
      </c>
      <c r="O52" s="972">
        <f t="shared" si="8"/>
        <v>0</v>
      </c>
      <c r="P52" s="201">
        <f t="shared" si="9"/>
        <v>0</v>
      </c>
      <c r="Q52" s="264"/>
      <c r="R52" s="969"/>
      <c r="S52" s="969"/>
      <c r="T52" s="969"/>
      <c r="U52" s="969"/>
      <c r="V52" s="262"/>
      <c r="W52" s="1001"/>
      <c r="X52" s="1001"/>
      <c r="Y52" s="1001"/>
      <c r="Z52" s="976"/>
      <c r="AA52" s="261"/>
      <c r="AB52" s="969"/>
      <c r="AC52" s="969"/>
      <c r="AD52" s="969"/>
      <c r="AE52" s="969"/>
      <c r="AF52" s="262"/>
      <c r="AG52" s="969"/>
      <c r="AH52" s="969"/>
      <c r="AI52" s="969"/>
      <c r="AJ52" s="969"/>
      <c r="AK52" s="262"/>
      <c r="AL52" s="969"/>
      <c r="AM52" s="969"/>
      <c r="AN52" s="969"/>
      <c r="AO52" s="969"/>
      <c r="AP52" s="262"/>
      <c r="AQ52" s="969"/>
      <c r="AR52" s="969"/>
      <c r="AS52" s="969"/>
      <c r="AT52" s="969"/>
      <c r="AU52" s="262"/>
      <c r="AV52" s="969"/>
      <c r="AW52" s="969"/>
      <c r="AX52" s="969"/>
      <c r="AY52" s="969"/>
      <c r="AZ52" s="265"/>
      <c r="BA52" s="969"/>
      <c r="BB52" s="969"/>
      <c r="BC52" s="969"/>
      <c r="BD52" s="976"/>
      <c r="BE52" s="195"/>
      <c r="BF52" s="969"/>
      <c r="BG52" s="969"/>
      <c r="BH52" s="969"/>
      <c r="BI52" s="969"/>
      <c r="BJ52" s="65"/>
      <c r="BK52" s="969"/>
      <c r="BL52" s="969"/>
      <c r="BM52" s="969"/>
      <c r="BN52" s="969"/>
      <c r="BO52" s="261"/>
      <c r="BP52" s="969"/>
      <c r="BQ52" s="969"/>
      <c r="BR52" s="969"/>
      <c r="BS52" s="969"/>
      <c r="BT52" s="262"/>
      <c r="BU52" s="969"/>
      <c r="BV52" s="969"/>
      <c r="BW52" s="969"/>
      <c r="BX52" s="969"/>
      <c r="BY52" s="186"/>
      <c r="BZ52" s="969"/>
      <c r="CA52" s="969"/>
      <c r="CB52" s="969"/>
      <c r="CC52" s="969"/>
      <c r="CD52" s="840"/>
      <c r="CE52" s="969"/>
      <c r="CF52" s="969"/>
      <c r="CG52" s="969"/>
      <c r="CH52" s="969"/>
      <c r="CI52" s="261"/>
      <c r="CJ52" s="969"/>
      <c r="CK52" s="969"/>
      <c r="CL52" s="969"/>
      <c r="CM52" s="995"/>
      <c r="CN52" s="998"/>
      <c r="CO52" s="261"/>
      <c r="CP52" s="969"/>
      <c r="CQ52" s="969"/>
      <c r="CR52" s="969"/>
      <c r="CS52" s="995"/>
      <c r="CT52" s="998"/>
      <c r="CU52" s="261"/>
      <c r="CV52" s="969"/>
      <c r="CW52" s="969"/>
      <c r="CX52" s="969"/>
      <c r="CY52" s="995"/>
      <c r="CZ52" s="998"/>
      <c r="DA52" s="261"/>
      <c r="DB52" s="969"/>
      <c r="DC52" s="969"/>
      <c r="DD52" s="969"/>
      <c r="DE52" s="995"/>
      <c r="DF52" s="998"/>
      <c r="DG52" s="56"/>
      <c r="DH52" s="10" t="e">
        <f>SUMIFS(#REF!,#REF!,$C52,#REF!,$E52,#REF!,$F52)</f>
        <v>#REF!</v>
      </c>
      <c r="DI52" s="29" t="e">
        <f>COUNTIFS(#REF!,$C52,#REF!,$E52,#REF!,$F52,#REF!,"&gt;=0")</f>
        <v>#REF!</v>
      </c>
      <c r="DJ52" s="10" t="e">
        <f>COUNTIFS(#REF!,$C52,#REF!,$E52,#REF!,$F52,#REF!,"лично")</f>
        <v>#REF!</v>
      </c>
    </row>
    <row r="53" spans="1:114" ht="12" customHeight="1">
      <c r="A53" s="94">
        <v>21</v>
      </c>
      <c r="B53" s="257" t="s">
        <v>27</v>
      </c>
      <c r="C53" s="255" t="s">
        <v>161</v>
      </c>
      <c r="D53" s="95"/>
      <c r="E53" s="256"/>
      <c r="F53" s="258" t="str">
        <f t="shared" si="0"/>
        <v>Сокращенное название</v>
      </c>
      <c r="G53" s="259" t="s">
        <v>325</v>
      </c>
      <c r="H53" s="469" t="str">
        <f t="shared" si="10"/>
        <v>Фамилия_1 Имя Отчество</v>
      </c>
      <c r="I53" s="260">
        <f t="shared" si="3"/>
        <v>0</v>
      </c>
      <c r="J53" s="970">
        <f t="shared" si="4"/>
        <v>0</v>
      </c>
      <c r="K53" s="260">
        <f t="shared" si="5"/>
        <v>0</v>
      </c>
      <c r="L53" s="970">
        <f t="shared" si="11"/>
        <v>0</v>
      </c>
      <c r="M53" s="974">
        <f t="shared" si="6"/>
        <v>0</v>
      </c>
      <c r="N53" s="201">
        <f t="shared" si="7"/>
        <v>0</v>
      </c>
      <c r="O53" s="972">
        <f t="shared" si="8"/>
        <v>0</v>
      </c>
      <c r="P53" s="201">
        <f t="shared" si="9"/>
        <v>0</v>
      </c>
      <c r="Q53" s="264"/>
      <c r="R53" s="969"/>
      <c r="S53" s="969"/>
      <c r="T53" s="969"/>
      <c r="U53" s="969"/>
      <c r="V53" s="262"/>
      <c r="W53" s="1001"/>
      <c r="X53" s="1001"/>
      <c r="Y53" s="1001"/>
      <c r="Z53" s="976"/>
      <c r="AA53" s="261"/>
      <c r="AB53" s="969"/>
      <c r="AC53" s="969"/>
      <c r="AD53" s="969"/>
      <c r="AE53" s="969"/>
      <c r="AF53" s="262"/>
      <c r="AG53" s="969"/>
      <c r="AH53" s="969"/>
      <c r="AI53" s="969"/>
      <c r="AJ53" s="969"/>
      <c r="AK53" s="262"/>
      <c r="AL53" s="969"/>
      <c r="AM53" s="969"/>
      <c r="AN53" s="969"/>
      <c r="AO53" s="969"/>
      <c r="AP53" s="262"/>
      <c r="AQ53" s="969"/>
      <c r="AR53" s="969"/>
      <c r="AS53" s="969"/>
      <c r="AT53" s="969"/>
      <c r="AU53" s="262"/>
      <c r="AV53" s="969"/>
      <c r="AW53" s="969"/>
      <c r="AX53" s="969"/>
      <c r="AY53" s="969"/>
      <c r="AZ53" s="265"/>
      <c r="BA53" s="969"/>
      <c r="BB53" s="969"/>
      <c r="BC53" s="969"/>
      <c r="BD53" s="976"/>
      <c r="BE53" s="195"/>
      <c r="BF53" s="969"/>
      <c r="BG53" s="969"/>
      <c r="BH53" s="969"/>
      <c r="BI53" s="969"/>
      <c r="BJ53" s="65"/>
      <c r="BK53" s="969"/>
      <c r="BL53" s="969"/>
      <c r="BM53" s="969"/>
      <c r="BN53" s="969"/>
      <c r="BO53" s="261"/>
      <c r="BP53" s="969"/>
      <c r="BQ53" s="969"/>
      <c r="BR53" s="969"/>
      <c r="BS53" s="969"/>
      <c r="BT53" s="262"/>
      <c r="BU53" s="969"/>
      <c r="BV53" s="969"/>
      <c r="BW53" s="969"/>
      <c r="BX53" s="969"/>
      <c r="BY53" s="186"/>
      <c r="BZ53" s="969"/>
      <c r="CA53" s="969"/>
      <c r="CB53" s="969"/>
      <c r="CC53" s="969"/>
      <c r="CD53" s="840"/>
      <c r="CE53" s="969"/>
      <c r="CF53" s="969"/>
      <c r="CG53" s="969"/>
      <c r="CH53" s="969"/>
      <c r="CI53" s="261"/>
      <c r="CJ53" s="969"/>
      <c r="CK53" s="969"/>
      <c r="CL53" s="969"/>
      <c r="CM53" s="995"/>
      <c r="CN53" s="998"/>
      <c r="CO53" s="261"/>
      <c r="CP53" s="969"/>
      <c r="CQ53" s="969"/>
      <c r="CR53" s="969"/>
      <c r="CS53" s="995"/>
      <c r="CT53" s="998"/>
      <c r="CU53" s="261"/>
      <c r="CV53" s="969"/>
      <c r="CW53" s="969"/>
      <c r="CX53" s="969"/>
      <c r="CY53" s="995"/>
      <c r="CZ53" s="998"/>
      <c r="DA53" s="261"/>
      <c r="DB53" s="969"/>
      <c r="DC53" s="969"/>
      <c r="DD53" s="969"/>
      <c r="DE53" s="995"/>
      <c r="DF53" s="998"/>
      <c r="DG53" s="56"/>
      <c r="DH53" s="10" t="e">
        <f>SUMIFS(#REF!,#REF!,$C53,#REF!,$E53,#REF!,$F53)</f>
        <v>#REF!</v>
      </c>
      <c r="DI53" s="29" t="e">
        <f>COUNTIFS(#REF!,$C53,#REF!,$E53,#REF!,$F53,#REF!,"&gt;=0")</f>
        <v>#REF!</v>
      </c>
      <c r="DJ53" s="10" t="e">
        <f>COUNTIFS(#REF!,$C53,#REF!,$E53,#REF!,$F53,#REF!,"лично")</f>
        <v>#REF!</v>
      </c>
    </row>
    <row r="54" spans="1:114" ht="12" customHeight="1">
      <c r="A54" s="94">
        <v>22</v>
      </c>
      <c r="B54" s="257" t="s">
        <v>1</v>
      </c>
      <c r="C54" s="255" t="s">
        <v>161</v>
      </c>
      <c r="D54" s="95"/>
      <c r="E54" s="256"/>
      <c r="F54" s="258" t="str">
        <f t="shared" si="0"/>
        <v>Сокращенное название</v>
      </c>
      <c r="G54" s="259" t="s">
        <v>325</v>
      </c>
      <c r="H54" s="469" t="str">
        <f t="shared" si="10"/>
        <v>Фамилия_1 Имя Отчество</v>
      </c>
      <c r="I54" s="260">
        <f t="shared" si="3"/>
        <v>0</v>
      </c>
      <c r="J54" s="970">
        <f t="shared" si="4"/>
        <v>0</v>
      </c>
      <c r="K54" s="260">
        <f t="shared" si="5"/>
        <v>0</v>
      </c>
      <c r="L54" s="970">
        <f t="shared" si="11"/>
        <v>0</v>
      </c>
      <c r="M54" s="974">
        <f t="shared" si="6"/>
        <v>0</v>
      </c>
      <c r="N54" s="201">
        <f t="shared" si="7"/>
        <v>0</v>
      </c>
      <c r="O54" s="972">
        <f t="shared" si="8"/>
        <v>0</v>
      </c>
      <c r="P54" s="201">
        <f t="shared" si="9"/>
        <v>0</v>
      </c>
      <c r="Q54" s="264"/>
      <c r="R54" s="969"/>
      <c r="S54" s="969"/>
      <c r="T54" s="969"/>
      <c r="U54" s="969"/>
      <c r="V54" s="262"/>
      <c r="W54" s="1001"/>
      <c r="X54" s="1001"/>
      <c r="Y54" s="1001"/>
      <c r="Z54" s="976"/>
      <c r="AA54" s="261"/>
      <c r="AB54" s="969"/>
      <c r="AC54" s="969"/>
      <c r="AD54" s="969"/>
      <c r="AE54" s="969"/>
      <c r="AF54" s="262"/>
      <c r="AG54" s="969"/>
      <c r="AH54" s="969"/>
      <c r="AI54" s="969"/>
      <c r="AJ54" s="969"/>
      <c r="AK54" s="262"/>
      <c r="AL54" s="969"/>
      <c r="AM54" s="969"/>
      <c r="AN54" s="969"/>
      <c r="AO54" s="969"/>
      <c r="AP54" s="262"/>
      <c r="AQ54" s="969"/>
      <c r="AR54" s="969"/>
      <c r="AS54" s="969"/>
      <c r="AT54" s="969"/>
      <c r="AU54" s="262"/>
      <c r="AV54" s="969"/>
      <c r="AW54" s="969"/>
      <c r="AX54" s="969"/>
      <c r="AY54" s="969"/>
      <c r="AZ54" s="265"/>
      <c r="BA54" s="969"/>
      <c r="BB54" s="969"/>
      <c r="BC54" s="969"/>
      <c r="BD54" s="976"/>
      <c r="BE54" s="195"/>
      <c r="BF54" s="969"/>
      <c r="BG54" s="969"/>
      <c r="BH54" s="969"/>
      <c r="BI54" s="969"/>
      <c r="BJ54" s="65"/>
      <c r="BK54" s="969"/>
      <c r="BL54" s="969"/>
      <c r="BM54" s="969"/>
      <c r="BN54" s="969"/>
      <c r="BO54" s="261"/>
      <c r="BP54" s="969"/>
      <c r="BQ54" s="969"/>
      <c r="BR54" s="969"/>
      <c r="BS54" s="969"/>
      <c r="BT54" s="262"/>
      <c r="BU54" s="969"/>
      <c r="BV54" s="969"/>
      <c r="BW54" s="969"/>
      <c r="BX54" s="969"/>
      <c r="BY54" s="186"/>
      <c r="BZ54" s="969"/>
      <c r="CA54" s="969"/>
      <c r="CB54" s="969"/>
      <c r="CC54" s="969"/>
      <c r="CD54" s="840"/>
      <c r="CE54" s="969"/>
      <c r="CF54" s="969"/>
      <c r="CG54" s="969"/>
      <c r="CH54" s="969"/>
      <c r="CI54" s="261"/>
      <c r="CJ54" s="969"/>
      <c r="CK54" s="969"/>
      <c r="CL54" s="969"/>
      <c r="CM54" s="995"/>
      <c r="CN54" s="998"/>
      <c r="CO54" s="261"/>
      <c r="CP54" s="969"/>
      <c r="CQ54" s="969"/>
      <c r="CR54" s="969"/>
      <c r="CS54" s="995"/>
      <c r="CT54" s="998"/>
      <c r="CU54" s="261"/>
      <c r="CV54" s="969"/>
      <c r="CW54" s="969"/>
      <c r="CX54" s="969"/>
      <c r="CY54" s="995"/>
      <c r="CZ54" s="998"/>
      <c r="DA54" s="261"/>
      <c r="DB54" s="969"/>
      <c r="DC54" s="969"/>
      <c r="DD54" s="969"/>
      <c r="DE54" s="995"/>
      <c r="DF54" s="998"/>
      <c r="DG54" s="56"/>
      <c r="DH54" s="10" t="e">
        <f>SUMIFS(#REF!,#REF!,$C54,#REF!,$E54,#REF!,$F54)</f>
        <v>#REF!</v>
      </c>
      <c r="DI54" s="29" t="e">
        <f>COUNTIFS(#REF!,$C54,#REF!,$E54,#REF!,$F54,#REF!,"&gt;=0")</f>
        <v>#REF!</v>
      </c>
      <c r="DJ54" s="10" t="e">
        <f>COUNTIFS(#REF!,$C54,#REF!,$E54,#REF!,$F54,#REF!,"лично")</f>
        <v>#REF!</v>
      </c>
    </row>
    <row r="55" spans="1:114" ht="12" customHeight="1">
      <c r="A55" s="94">
        <v>23</v>
      </c>
      <c r="B55" s="257" t="s">
        <v>27</v>
      </c>
      <c r="C55" s="255" t="s">
        <v>161</v>
      </c>
      <c r="D55" s="95"/>
      <c r="E55" s="256"/>
      <c r="F55" s="258" t="str">
        <f t="shared" si="0"/>
        <v>Сокращенное название</v>
      </c>
      <c r="G55" s="259" t="s">
        <v>325</v>
      </c>
      <c r="H55" s="469" t="str">
        <f t="shared" si="10"/>
        <v>Фамилия_1 Имя Отчество</v>
      </c>
      <c r="I55" s="260">
        <f t="shared" si="3"/>
        <v>0</v>
      </c>
      <c r="J55" s="970">
        <f t="shared" si="4"/>
        <v>0</v>
      </c>
      <c r="K55" s="260">
        <f t="shared" si="5"/>
        <v>0</v>
      </c>
      <c r="L55" s="970">
        <f t="shared" si="11"/>
        <v>0</v>
      </c>
      <c r="M55" s="974">
        <f t="shared" si="6"/>
        <v>0</v>
      </c>
      <c r="N55" s="201">
        <f t="shared" si="7"/>
        <v>0</v>
      </c>
      <c r="O55" s="972">
        <f t="shared" si="8"/>
        <v>0</v>
      </c>
      <c r="P55" s="201">
        <f t="shared" si="9"/>
        <v>0</v>
      </c>
      <c r="Q55" s="264"/>
      <c r="R55" s="969"/>
      <c r="S55" s="969"/>
      <c r="T55" s="969"/>
      <c r="U55" s="969"/>
      <c r="V55" s="262"/>
      <c r="W55" s="1001"/>
      <c r="X55" s="1001"/>
      <c r="Y55" s="1001"/>
      <c r="Z55" s="976"/>
      <c r="AA55" s="261"/>
      <c r="AB55" s="969"/>
      <c r="AC55" s="969"/>
      <c r="AD55" s="969"/>
      <c r="AE55" s="969"/>
      <c r="AF55" s="262"/>
      <c r="AG55" s="969"/>
      <c r="AH55" s="969"/>
      <c r="AI55" s="969"/>
      <c r="AJ55" s="969"/>
      <c r="AK55" s="262"/>
      <c r="AL55" s="969"/>
      <c r="AM55" s="969"/>
      <c r="AN55" s="969"/>
      <c r="AO55" s="969"/>
      <c r="AP55" s="262"/>
      <c r="AQ55" s="969"/>
      <c r="AR55" s="969"/>
      <c r="AS55" s="969"/>
      <c r="AT55" s="969"/>
      <c r="AU55" s="262"/>
      <c r="AV55" s="969"/>
      <c r="AW55" s="969"/>
      <c r="AX55" s="969"/>
      <c r="AY55" s="969"/>
      <c r="AZ55" s="265"/>
      <c r="BA55" s="969"/>
      <c r="BB55" s="969"/>
      <c r="BC55" s="969"/>
      <c r="BD55" s="976"/>
      <c r="BE55" s="195"/>
      <c r="BF55" s="969"/>
      <c r="BG55" s="969"/>
      <c r="BH55" s="969"/>
      <c r="BI55" s="969"/>
      <c r="BJ55" s="65"/>
      <c r="BK55" s="969"/>
      <c r="BL55" s="969"/>
      <c r="BM55" s="969"/>
      <c r="BN55" s="969"/>
      <c r="BO55" s="261"/>
      <c r="BP55" s="969"/>
      <c r="BQ55" s="969"/>
      <c r="BR55" s="969"/>
      <c r="BS55" s="969"/>
      <c r="BT55" s="262"/>
      <c r="BU55" s="969"/>
      <c r="BV55" s="969"/>
      <c r="BW55" s="969"/>
      <c r="BX55" s="969"/>
      <c r="BY55" s="186"/>
      <c r="BZ55" s="969"/>
      <c r="CA55" s="969"/>
      <c r="CB55" s="969"/>
      <c r="CC55" s="969"/>
      <c r="CD55" s="840"/>
      <c r="CE55" s="969"/>
      <c r="CF55" s="969"/>
      <c r="CG55" s="969"/>
      <c r="CH55" s="969"/>
      <c r="CI55" s="261"/>
      <c r="CJ55" s="969"/>
      <c r="CK55" s="969"/>
      <c r="CL55" s="969"/>
      <c r="CM55" s="995"/>
      <c r="CN55" s="998"/>
      <c r="CO55" s="261"/>
      <c r="CP55" s="969"/>
      <c r="CQ55" s="969"/>
      <c r="CR55" s="969"/>
      <c r="CS55" s="995"/>
      <c r="CT55" s="998"/>
      <c r="CU55" s="261"/>
      <c r="CV55" s="969"/>
      <c r="CW55" s="969"/>
      <c r="CX55" s="969"/>
      <c r="CY55" s="995"/>
      <c r="CZ55" s="998"/>
      <c r="DA55" s="261"/>
      <c r="DB55" s="969"/>
      <c r="DC55" s="969"/>
      <c r="DD55" s="969"/>
      <c r="DE55" s="995"/>
      <c r="DF55" s="998"/>
      <c r="DG55" s="56"/>
      <c r="DH55" s="10" t="e">
        <f>SUMIFS(#REF!,#REF!,$C55,#REF!,$E55,#REF!,$F55)</f>
        <v>#REF!</v>
      </c>
      <c r="DI55" s="29" t="e">
        <f>COUNTIFS(#REF!,$C55,#REF!,$E55,#REF!,$F55,#REF!,"&gt;=0")</f>
        <v>#REF!</v>
      </c>
      <c r="DJ55" s="10" t="e">
        <f>COUNTIFS(#REF!,$C55,#REF!,$E55,#REF!,$F55,#REF!,"лично")</f>
        <v>#REF!</v>
      </c>
    </row>
    <row r="56" spans="1:114" ht="12" customHeight="1">
      <c r="A56" s="94">
        <v>24</v>
      </c>
      <c r="B56" s="257" t="s">
        <v>1</v>
      </c>
      <c r="C56" s="255" t="s">
        <v>161</v>
      </c>
      <c r="D56" s="95"/>
      <c r="E56" s="256"/>
      <c r="F56" s="258" t="str">
        <f t="shared" si="0"/>
        <v>Сокращенное название</v>
      </c>
      <c r="G56" s="259" t="s">
        <v>325</v>
      </c>
      <c r="H56" s="469" t="str">
        <f t="shared" si="10"/>
        <v>Фамилия_1 Имя Отчество</v>
      </c>
      <c r="I56" s="260">
        <f t="shared" si="3"/>
        <v>0</v>
      </c>
      <c r="J56" s="970">
        <f t="shared" si="4"/>
        <v>0</v>
      </c>
      <c r="K56" s="260">
        <f t="shared" si="5"/>
        <v>0</v>
      </c>
      <c r="L56" s="970">
        <f t="shared" si="11"/>
        <v>0</v>
      </c>
      <c r="M56" s="974">
        <f t="shared" si="6"/>
        <v>0</v>
      </c>
      <c r="N56" s="201">
        <f t="shared" si="7"/>
        <v>0</v>
      </c>
      <c r="O56" s="972">
        <f t="shared" si="8"/>
        <v>0</v>
      </c>
      <c r="P56" s="201">
        <f t="shared" si="9"/>
        <v>0</v>
      </c>
      <c r="Q56" s="264"/>
      <c r="R56" s="969"/>
      <c r="S56" s="969"/>
      <c r="T56" s="969"/>
      <c r="U56" s="969"/>
      <c r="V56" s="262"/>
      <c r="W56" s="1001"/>
      <c r="X56" s="1001"/>
      <c r="Y56" s="1001"/>
      <c r="Z56" s="976"/>
      <c r="AA56" s="261"/>
      <c r="AB56" s="969"/>
      <c r="AC56" s="969"/>
      <c r="AD56" s="969"/>
      <c r="AE56" s="969"/>
      <c r="AF56" s="262"/>
      <c r="AG56" s="969"/>
      <c r="AH56" s="969"/>
      <c r="AI56" s="969"/>
      <c r="AJ56" s="969"/>
      <c r="AK56" s="262"/>
      <c r="AL56" s="969"/>
      <c r="AM56" s="969"/>
      <c r="AN56" s="969"/>
      <c r="AO56" s="969"/>
      <c r="AP56" s="262"/>
      <c r="AQ56" s="969"/>
      <c r="AR56" s="969"/>
      <c r="AS56" s="969"/>
      <c r="AT56" s="969"/>
      <c r="AU56" s="262"/>
      <c r="AV56" s="969"/>
      <c r="AW56" s="969"/>
      <c r="AX56" s="969"/>
      <c r="AY56" s="969"/>
      <c r="AZ56" s="265"/>
      <c r="BA56" s="969"/>
      <c r="BB56" s="969"/>
      <c r="BC56" s="969"/>
      <c r="BD56" s="976"/>
      <c r="BE56" s="195"/>
      <c r="BF56" s="969"/>
      <c r="BG56" s="969"/>
      <c r="BH56" s="969"/>
      <c r="BI56" s="969"/>
      <c r="BJ56" s="65"/>
      <c r="BK56" s="969"/>
      <c r="BL56" s="969"/>
      <c r="BM56" s="969"/>
      <c r="BN56" s="969"/>
      <c r="BO56" s="261"/>
      <c r="BP56" s="969"/>
      <c r="BQ56" s="969"/>
      <c r="BR56" s="969"/>
      <c r="BS56" s="969"/>
      <c r="BT56" s="262"/>
      <c r="BU56" s="969"/>
      <c r="BV56" s="969"/>
      <c r="BW56" s="969"/>
      <c r="BX56" s="969"/>
      <c r="BY56" s="186"/>
      <c r="BZ56" s="969"/>
      <c r="CA56" s="969"/>
      <c r="CB56" s="969"/>
      <c r="CC56" s="969"/>
      <c r="CD56" s="840"/>
      <c r="CE56" s="969"/>
      <c r="CF56" s="969"/>
      <c r="CG56" s="969"/>
      <c r="CH56" s="969"/>
      <c r="CI56" s="261"/>
      <c r="CJ56" s="969"/>
      <c r="CK56" s="969"/>
      <c r="CL56" s="969"/>
      <c r="CM56" s="995"/>
      <c r="CN56" s="998"/>
      <c r="CO56" s="261"/>
      <c r="CP56" s="969"/>
      <c r="CQ56" s="969"/>
      <c r="CR56" s="969"/>
      <c r="CS56" s="995"/>
      <c r="CT56" s="998"/>
      <c r="CU56" s="261"/>
      <c r="CV56" s="969"/>
      <c r="CW56" s="969"/>
      <c r="CX56" s="969"/>
      <c r="CY56" s="995"/>
      <c r="CZ56" s="998"/>
      <c r="DA56" s="261"/>
      <c r="DB56" s="969"/>
      <c r="DC56" s="969"/>
      <c r="DD56" s="969"/>
      <c r="DE56" s="995"/>
      <c r="DF56" s="998"/>
      <c r="DG56" s="56"/>
      <c r="DH56" s="10" t="e">
        <f>SUMIFS(#REF!,#REF!,$C56,#REF!,$E56,#REF!,$F56)</f>
        <v>#REF!</v>
      </c>
      <c r="DI56" s="29" t="e">
        <f>COUNTIFS(#REF!,$C56,#REF!,$E56,#REF!,$F56,#REF!,"&gt;=0")</f>
        <v>#REF!</v>
      </c>
      <c r="DJ56" s="10" t="e">
        <f>COUNTIFS(#REF!,$C56,#REF!,$E56,#REF!,$F56,#REF!,"лично")</f>
        <v>#REF!</v>
      </c>
    </row>
    <row r="57" spans="1:114" ht="12.75" customHeight="1" thickBot="1">
      <c r="A57" s="96">
        <v>25</v>
      </c>
      <c r="B57" s="953" t="s">
        <v>13</v>
      </c>
      <c r="C57" s="269" t="s">
        <v>161</v>
      </c>
      <c r="D57" s="97"/>
      <c r="E57" s="270"/>
      <c r="F57" s="271" t="str">
        <f t="shared" si="0"/>
        <v>Сокращенное название</v>
      </c>
      <c r="G57" s="272" t="s">
        <v>325</v>
      </c>
      <c r="H57" s="470" t="str">
        <f t="shared" si="10"/>
        <v>Фамилия_1 Имя Отчество</v>
      </c>
      <c r="I57" s="273">
        <f t="shared" si="3"/>
        <v>0</v>
      </c>
      <c r="J57" s="971">
        <f t="shared" si="4"/>
        <v>0</v>
      </c>
      <c r="K57" s="273">
        <f t="shared" si="5"/>
        <v>0</v>
      </c>
      <c r="L57" s="970">
        <f t="shared" si="11"/>
        <v>0</v>
      </c>
      <c r="M57" s="975">
        <f t="shared" si="6"/>
        <v>0</v>
      </c>
      <c r="N57" s="202">
        <f t="shared" si="7"/>
        <v>0</v>
      </c>
      <c r="O57" s="973">
        <f t="shared" si="8"/>
        <v>0</v>
      </c>
      <c r="P57" s="202">
        <f t="shared" si="9"/>
        <v>0</v>
      </c>
      <c r="Q57" s="277"/>
      <c r="R57" s="978"/>
      <c r="S57" s="978"/>
      <c r="T57" s="978"/>
      <c r="U57" s="978"/>
      <c r="V57" s="275"/>
      <c r="W57" s="1002"/>
      <c r="X57" s="1002"/>
      <c r="Y57" s="1002"/>
      <c r="Z57" s="516"/>
      <c r="AA57" s="274"/>
      <c r="AB57" s="978"/>
      <c r="AC57" s="978"/>
      <c r="AD57" s="978"/>
      <c r="AE57" s="978"/>
      <c r="AF57" s="275"/>
      <c r="AG57" s="978"/>
      <c r="AH57" s="978"/>
      <c r="AI57" s="978"/>
      <c r="AJ57" s="978"/>
      <c r="AK57" s="275"/>
      <c r="AL57" s="978"/>
      <c r="AM57" s="978"/>
      <c r="AN57" s="978"/>
      <c r="AO57" s="978"/>
      <c r="AP57" s="275"/>
      <c r="AQ57" s="978"/>
      <c r="AR57" s="978"/>
      <c r="AS57" s="978"/>
      <c r="AT57" s="978"/>
      <c r="AU57" s="275"/>
      <c r="AV57" s="978"/>
      <c r="AW57" s="978"/>
      <c r="AX57" s="978"/>
      <c r="AY57" s="978"/>
      <c r="AZ57" s="278"/>
      <c r="BA57" s="978"/>
      <c r="BB57" s="978"/>
      <c r="BC57" s="978"/>
      <c r="BD57" s="516"/>
      <c r="BE57" s="196"/>
      <c r="BF57" s="978"/>
      <c r="BG57" s="978"/>
      <c r="BH57" s="978"/>
      <c r="BI57" s="978"/>
      <c r="BJ57" s="67"/>
      <c r="BK57" s="978"/>
      <c r="BL57" s="978"/>
      <c r="BM57" s="978"/>
      <c r="BN57" s="978"/>
      <c r="BO57" s="274"/>
      <c r="BP57" s="978"/>
      <c r="BQ57" s="978"/>
      <c r="BR57" s="978"/>
      <c r="BS57" s="978"/>
      <c r="BT57" s="275"/>
      <c r="BU57" s="978"/>
      <c r="BV57" s="978"/>
      <c r="BW57" s="978"/>
      <c r="BX57" s="978"/>
      <c r="BY57" s="187"/>
      <c r="BZ57" s="978"/>
      <c r="CA57" s="978"/>
      <c r="CB57" s="978"/>
      <c r="CC57" s="978"/>
      <c r="CD57" s="841"/>
      <c r="CE57" s="978"/>
      <c r="CF57" s="978"/>
      <c r="CG57" s="978"/>
      <c r="CH57" s="978"/>
      <c r="CI57" s="274"/>
      <c r="CJ57" s="978"/>
      <c r="CK57" s="978"/>
      <c r="CL57" s="978"/>
      <c r="CM57" s="996"/>
      <c r="CN57" s="999"/>
      <c r="CO57" s="274"/>
      <c r="CP57" s="978"/>
      <c r="CQ57" s="978"/>
      <c r="CR57" s="978"/>
      <c r="CS57" s="996"/>
      <c r="CT57" s="999"/>
      <c r="CU57" s="274"/>
      <c r="CV57" s="978"/>
      <c r="CW57" s="978"/>
      <c r="CX57" s="978"/>
      <c r="CY57" s="996"/>
      <c r="CZ57" s="999"/>
      <c r="DA57" s="274"/>
      <c r="DB57" s="978"/>
      <c r="DC57" s="978"/>
      <c r="DD57" s="978"/>
      <c r="DE57" s="996"/>
      <c r="DF57" s="999"/>
      <c r="DG57" s="56"/>
      <c r="DH57" s="10" t="e">
        <f>SUMIFS(#REF!,#REF!,$C57,#REF!,$E57,#REF!,$F57)</f>
        <v>#REF!</v>
      </c>
      <c r="DI57" s="29" t="e">
        <f>COUNTIFS(#REF!,$C57,#REF!,$E57,#REF!,$F57,#REF!,"&gt;=0")</f>
        <v>#REF!</v>
      </c>
      <c r="DJ57" s="10" t="e">
        <f>COUNTIFS(#REF!,$C57,#REF!,$E57,#REF!,$F57,#REF!,"лично")</f>
        <v>#REF!</v>
      </c>
    </row>
    <row r="58" spans="1:114" ht="12" customHeight="1">
      <c r="A58" s="92">
        <f t="shared" ref="A58:A82" si="12">A57+1</f>
        <v>26</v>
      </c>
      <c r="B58" s="62" t="s">
        <v>11</v>
      </c>
      <c r="C58" s="244" t="s">
        <v>162</v>
      </c>
      <c r="D58" s="374"/>
      <c r="E58" s="382"/>
      <c r="F58" s="98" t="str">
        <f t="shared" si="0"/>
        <v>Сокращенное название</v>
      </c>
      <c r="G58" s="246" t="s">
        <v>326</v>
      </c>
      <c r="H58" s="468" t="str">
        <f t="shared" si="10"/>
        <v>Фамилия_1 Имя Отчество</v>
      </c>
      <c r="I58" s="247">
        <f t="shared" si="3"/>
        <v>0</v>
      </c>
      <c r="J58" s="988">
        <f t="shared" si="4"/>
        <v>0</v>
      </c>
      <c r="K58" s="247">
        <f t="shared" si="5"/>
        <v>0</v>
      </c>
      <c r="L58" s="970">
        <f t="shared" si="11"/>
        <v>0</v>
      </c>
      <c r="M58" s="989">
        <f t="shared" si="6"/>
        <v>0</v>
      </c>
      <c r="N58" s="200">
        <f t="shared" si="7"/>
        <v>0</v>
      </c>
      <c r="O58" s="990">
        <f t="shared" si="8"/>
        <v>0</v>
      </c>
      <c r="P58" s="200">
        <f t="shared" si="9"/>
        <v>0</v>
      </c>
      <c r="Q58" s="962"/>
      <c r="R58" s="991"/>
      <c r="S58" s="991"/>
      <c r="T58" s="991"/>
      <c r="U58" s="991"/>
      <c r="V58" s="249"/>
      <c r="W58" s="1000"/>
      <c r="X58" s="1000"/>
      <c r="Y58" s="1000"/>
      <c r="Z58" s="993"/>
      <c r="AA58" s="248"/>
      <c r="AB58" s="991"/>
      <c r="AC58" s="991"/>
      <c r="AD58" s="991"/>
      <c r="AE58" s="991"/>
      <c r="AF58" s="249"/>
      <c r="AG58" s="991"/>
      <c r="AH58" s="991"/>
      <c r="AI58" s="991"/>
      <c r="AJ58" s="991"/>
      <c r="AK58" s="249"/>
      <c r="AL58" s="991"/>
      <c r="AM58" s="991"/>
      <c r="AN58" s="991"/>
      <c r="AO58" s="991"/>
      <c r="AP58" s="249"/>
      <c r="AQ58" s="991"/>
      <c r="AR58" s="991"/>
      <c r="AS58" s="991"/>
      <c r="AT58" s="991"/>
      <c r="AU58" s="249"/>
      <c r="AV58" s="991"/>
      <c r="AW58" s="991"/>
      <c r="AX58" s="991"/>
      <c r="AY58" s="991"/>
      <c r="AZ58" s="249"/>
      <c r="BA58" s="991"/>
      <c r="BB58" s="991"/>
      <c r="BC58" s="991"/>
      <c r="BD58" s="993"/>
      <c r="BE58" s="960"/>
      <c r="BF58" s="991"/>
      <c r="BG58" s="991"/>
      <c r="BH58" s="991"/>
      <c r="BI58" s="991"/>
      <c r="BJ58" s="64"/>
      <c r="BK58" s="991"/>
      <c r="BL58" s="991"/>
      <c r="BM58" s="991"/>
      <c r="BN58" s="991"/>
      <c r="BO58" s="248"/>
      <c r="BP58" s="991"/>
      <c r="BQ58" s="991"/>
      <c r="BR58" s="991"/>
      <c r="BS58" s="991"/>
      <c r="BT58" s="249"/>
      <c r="BU58" s="991"/>
      <c r="BV58" s="991"/>
      <c r="BW58" s="991"/>
      <c r="BX58" s="991"/>
      <c r="BY58" s="185"/>
      <c r="BZ58" s="991"/>
      <c r="CA58" s="991"/>
      <c r="CB58" s="991"/>
      <c r="CC58" s="991"/>
      <c r="CD58" s="842"/>
      <c r="CE58" s="991"/>
      <c r="CF58" s="991"/>
      <c r="CG58" s="991"/>
      <c r="CH58" s="991"/>
      <c r="CI58" s="248"/>
      <c r="CJ58" s="991"/>
      <c r="CK58" s="991"/>
      <c r="CL58" s="991"/>
      <c r="CM58" s="994"/>
      <c r="CN58" s="997"/>
      <c r="CO58" s="248"/>
      <c r="CP58" s="991"/>
      <c r="CQ58" s="991"/>
      <c r="CR58" s="991"/>
      <c r="CS58" s="994"/>
      <c r="CT58" s="997"/>
      <c r="CU58" s="248"/>
      <c r="CV58" s="991"/>
      <c r="CW58" s="991"/>
      <c r="CX58" s="991"/>
      <c r="CY58" s="994"/>
      <c r="CZ58" s="997"/>
      <c r="DA58" s="248"/>
      <c r="DB58" s="991"/>
      <c r="DC58" s="991"/>
      <c r="DD58" s="991"/>
      <c r="DE58" s="994"/>
      <c r="DF58" s="997"/>
      <c r="DG58" s="56"/>
      <c r="DH58" s="10" t="e">
        <f>SUMIFS(#REF!,#REF!,$C58,#REF!,$E58,#REF!,$F58)</f>
        <v>#REF!</v>
      </c>
      <c r="DI58" s="29" t="e">
        <f>COUNTIFS(#REF!,$C58,#REF!,$E58,#REF!,$F58,#REF!,"&gt;=0")</f>
        <v>#REF!</v>
      </c>
      <c r="DJ58" s="10" t="e">
        <f>COUNTIFS(#REF!,$C58,#REF!,$E58,#REF!,$F58,#REF!,"лично")</f>
        <v>#REF!</v>
      </c>
    </row>
    <row r="59" spans="1:114" ht="12" customHeight="1">
      <c r="A59" s="94">
        <f t="shared" si="12"/>
        <v>27</v>
      </c>
      <c r="B59" s="257" t="s">
        <v>13</v>
      </c>
      <c r="C59" s="255" t="s">
        <v>162</v>
      </c>
      <c r="D59" s="95"/>
      <c r="E59" s="256"/>
      <c r="F59" s="285" t="str">
        <f t="shared" si="0"/>
        <v>Сокращенное название</v>
      </c>
      <c r="G59" s="259" t="s">
        <v>326</v>
      </c>
      <c r="H59" s="469" t="str">
        <f t="shared" si="10"/>
        <v>Фамилия_1 Имя Отчество</v>
      </c>
      <c r="I59" s="260">
        <f t="shared" si="3"/>
        <v>0</v>
      </c>
      <c r="J59" s="970">
        <f t="shared" si="4"/>
        <v>0</v>
      </c>
      <c r="K59" s="260">
        <f t="shared" si="5"/>
        <v>0</v>
      </c>
      <c r="L59" s="970">
        <f t="shared" si="11"/>
        <v>0</v>
      </c>
      <c r="M59" s="974">
        <f t="shared" si="6"/>
        <v>0</v>
      </c>
      <c r="N59" s="201">
        <f t="shared" si="7"/>
        <v>0</v>
      </c>
      <c r="O59" s="972">
        <f t="shared" si="8"/>
        <v>0</v>
      </c>
      <c r="P59" s="201">
        <f t="shared" si="9"/>
        <v>0</v>
      </c>
      <c r="Q59" s="264"/>
      <c r="R59" s="969"/>
      <c r="S59" s="969"/>
      <c r="T59" s="969"/>
      <c r="U59" s="969"/>
      <c r="V59" s="262"/>
      <c r="W59" s="1001"/>
      <c r="X59" s="1001"/>
      <c r="Y59" s="1001"/>
      <c r="Z59" s="976"/>
      <c r="AA59" s="261"/>
      <c r="AB59" s="969"/>
      <c r="AC59" s="969"/>
      <c r="AD59" s="969"/>
      <c r="AE59" s="969"/>
      <c r="AF59" s="262"/>
      <c r="AG59" s="969"/>
      <c r="AH59" s="969"/>
      <c r="AI59" s="969"/>
      <c r="AJ59" s="969"/>
      <c r="AK59" s="262"/>
      <c r="AL59" s="969"/>
      <c r="AM59" s="969"/>
      <c r="AN59" s="969"/>
      <c r="AO59" s="969"/>
      <c r="AP59" s="262"/>
      <c r="AQ59" s="969"/>
      <c r="AR59" s="969"/>
      <c r="AS59" s="969"/>
      <c r="AT59" s="969"/>
      <c r="AU59" s="262"/>
      <c r="AV59" s="969"/>
      <c r="AW59" s="969"/>
      <c r="AX59" s="969"/>
      <c r="AY59" s="969"/>
      <c r="AZ59" s="262"/>
      <c r="BA59" s="969"/>
      <c r="BB59" s="969"/>
      <c r="BC59" s="969"/>
      <c r="BD59" s="976"/>
      <c r="BE59" s="195"/>
      <c r="BF59" s="969"/>
      <c r="BG59" s="969"/>
      <c r="BH59" s="969"/>
      <c r="BI59" s="969"/>
      <c r="BJ59" s="65"/>
      <c r="BK59" s="969"/>
      <c r="BL59" s="969"/>
      <c r="BM59" s="969"/>
      <c r="BN59" s="969"/>
      <c r="BO59" s="261"/>
      <c r="BP59" s="969"/>
      <c r="BQ59" s="969"/>
      <c r="BR59" s="969"/>
      <c r="BS59" s="969"/>
      <c r="BT59" s="262"/>
      <c r="BU59" s="969"/>
      <c r="BV59" s="969"/>
      <c r="BW59" s="969"/>
      <c r="BX59" s="969"/>
      <c r="BY59" s="186"/>
      <c r="BZ59" s="969"/>
      <c r="CA59" s="969"/>
      <c r="CB59" s="969"/>
      <c r="CC59" s="969"/>
      <c r="CD59" s="840"/>
      <c r="CE59" s="969"/>
      <c r="CF59" s="969"/>
      <c r="CG59" s="969"/>
      <c r="CH59" s="969"/>
      <c r="CI59" s="261"/>
      <c r="CJ59" s="969"/>
      <c r="CK59" s="969"/>
      <c r="CL59" s="969"/>
      <c r="CM59" s="995"/>
      <c r="CN59" s="998"/>
      <c r="CO59" s="261"/>
      <c r="CP59" s="969"/>
      <c r="CQ59" s="969"/>
      <c r="CR59" s="969"/>
      <c r="CS59" s="995"/>
      <c r="CT59" s="998"/>
      <c r="CU59" s="261"/>
      <c r="CV59" s="969"/>
      <c r="CW59" s="969"/>
      <c r="CX59" s="969"/>
      <c r="CY59" s="995"/>
      <c r="CZ59" s="998"/>
      <c r="DA59" s="261"/>
      <c r="DB59" s="969"/>
      <c r="DC59" s="969"/>
      <c r="DD59" s="969"/>
      <c r="DE59" s="995"/>
      <c r="DF59" s="998"/>
      <c r="DG59" s="56"/>
      <c r="DH59" s="10" t="e">
        <f>SUMIFS(#REF!,#REF!,$C59,#REF!,$E59,#REF!,$F59)</f>
        <v>#REF!</v>
      </c>
      <c r="DI59" s="29" t="e">
        <f>COUNTIFS(#REF!,$C59,#REF!,$E59,#REF!,$F59,#REF!,"&gt;=0")</f>
        <v>#REF!</v>
      </c>
      <c r="DJ59" s="10" t="e">
        <f>COUNTIFS(#REF!,$C59,#REF!,$E59,#REF!,$F59,#REF!,"лично")</f>
        <v>#REF!</v>
      </c>
    </row>
    <row r="60" spans="1:114" ht="12" customHeight="1">
      <c r="A60" s="94">
        <f t="shared" si="12"/>
        <v>28</v>
      </c>
      <c r="B60" s="257" t="s">
        <v>23</v>
      </c>
      <c r="C60" s="255" t="s">
        <v>162</v>
      </c>
      <c r="D60" s="95"/>
      <c r="E60" s="256"/>
      <c r="F60" s="285" t="str">
        <f t="shared" si="0"/>
        <v>Сокращенное название</v>
      </c>
      <c r="G60" s="259" t="s">
        <v>326</v>
      </c>
      <c r="H60" s="469" t="str">
        <f t="shared" si="10"/>
        <v>Фамилия_1 Имя Отчество</v>
      </c>
      <c r="I60" s="260">
        <f t="shared" si="3"/>
        <v>0</v>
      </c>
      <c r="J60" s="970">
        <f t="shared" si="4"/>
        <v>0</v>
      </c>
      <c r="K60" s="260">
        <f t="shared" si="5"/>
        <v>0</v>
      </c>
      <c r="L60" s="970">
        <f t="shared" si="11"/>
        <v>0</v>
      </c>
      <c r="M60" s="974">
        <f t="shared" si="6"/>
        <v>0</v>
      </c>
      <c r="N60" s="201">
        <f t="shared" si="7"/>
        <v>0</v>
      </c>
      <c r="O60" s="972">
        <f t="shared" si="8"/>
        <v>0</v>
      </c>
      <c r="P60" s="201">
        <f t="shared" si="9"/>
        <v>0</v>
      </c>
      <c r="Q60" s="264"/>
      <c r="R60" s="969"/>
      <c r="S60" s="969"/>
      <c r="T60" s="969"/>
      <c r="U60" s="969"/>
      <c r="V60" s="262"/>
      <c r="W60" s="1001"/>
      <c r="X60" s="1001"/>
      <c r="Y60" s="1001"/>
      <c r="Z60" s="976"/>
      <c r="AA60" s="261"/>
      <c r="AB60" s="969"/>
      <c r="AC60" s="969"/>
      <c r="AD60" s="969"/>
      <c r="AE60" s="969"/>
      <c r="AF60" s="262"/>
      <c r="AG60" s="969"/>
      <c r="AH60" s="969"/>
      <c r="AI60" s="969"/>
      <c r="AJ60" s="969"/>
      <c r="AK60" s="262"/>
      <c r="AL60" s="969"/>
      <c r="AM60" s="969"/>
      <c r="AN60" s="969"/>
      <c r="AO60" s="969"/>
      <c r="AP60" s="262"/>
      <c r="AQ60" s="969"/>
      <c r="AR60" s="969"/>
      <c r="AS60" s="969"/>
      <c r="AT60" s="969"/>
      <c r="AU60" s="262"/>
      <c r="AV60" s="969"/>
      <c r="AW60" s="969"/>
      <c r="AX60" s="969"/>
      <c r="AY60" s="969"/>
      <c r="AZ60" s="262"/>
      <c r="BA60" s="969"/>
      <c r="BB60" s="969"/>
      <c r="BC60" s="969"/>
      <c r="BD60" s="976"/>
      <c r="BE60" s="195"/>
      <c r="BF60" s="969"/>
      <c r="BG60" s="969"/>
      <c r="BH60" s="969"/>
      <c r="BI60" s="969"/>
      <c r="BJ60" s="65"/>
      <c r="BK60" s="969"/>
      <c r="BL60" s="969"/>
      <c r="BM60" s="969"/>
      <c r="BN60" s="969"/>
      <c r="BO60" s="261"/>
      <c r="BP60" s="969"/>
      <c r="BQ60" s="969"/>
      <c r="BR60" s="969"/>
      <c r="BS60" s="969"/>
      <c r="BT60" s="262"/>
      <c r="BU60" s="969"/>
      <c r="BV60" s="969"/>
      <c r="BW60" s="969"/>
      <c r="BX60" s="969"/>
      <c r="BY60" s="186"/>
      <c r="BZ60" s="969"/>
      <c r="CA60" s="969"/>
      <c r="CB60" s="969"/>
      <c r="CC60" s="969"/>
      <c r="CD60" s="840"/>
      <c r="CE60" s="969"/>
      <c r="CF60" s="969"/>
      <c r="CG60" s="969"/>
      <c r="CH60" s="969"/>
      <c r="CI60" s="261"/>
      <c r="CJ60" s="969"/>
      <c r="CK60" s="969"/>
      <c r="CL60" s="969"/>
      <c r="CM60" s="995"/>
      <c r="CN60" s="998"/>
      <c r="CO60" s="261"/>
      <c r="CP60" s="969"/>
      <c r="CQ60" s="969"/>
      <c r="CR60" s="969"/>
      <c r="CS60" s="995"/>
      <c r="CT60" s="998"/>
      <c r="CU60" s="261"/>
      <c r="CV60" s="969"/>
      <c r="CW60" s="969"/>
      <c r="CX60" s="969"/>
      <c r="CY60" s="995"/>
      <c r="CZ60" s="998"/>
      <c r="DA60" s="261"/>
      <c r="DB60" s="969"/>
      <c r="DC60" s="969"/>
      <c r="DD60" s="969"/>
      <c r="DE60" s="995"/>
      <c r="DF60" s="998"/>
      <c r="DG60" s="56"/>
      <c r="DH60" s="10" t="e">
        <f>SUMIFS(#REF!,#REF!,$C60,#REF!,$E60,#REF!,$F60)</f>
        <v>#REF!</v>
      </c>
      <c r="DI60" s="29" t="e">
        <f>COUNTIFS(#REF!,$C60,#REF!,$E60,#REF!,$F60,#REF!,"&gt;=0")</f>
        <v>#REF!</v>
      </c>
      <c r="DJ60" s="10" t="e">
        <f>COUNTIFS(#REF!,$C60,#REF!,$E60,#REF!,$F60,#REF!,"лично")</f>
        <v>#REF!</v>
      </c>
    </row>
    <row r="61" spans="1:114" ht="12" customHeight="1">
      <c r="A61" s="94">
        <f t="shared" si="12"/>
        <v>29</v>
      </c>
      <c r="B61" s="257" t="s">
        <v>25</v>
      </c>
      <c r="C61" s="255" t="s">
        <v>162</v>
      </c>
      <c r="D61" s="95"/>
      <c r="E61" s="256"/>
      <c r="F61" s="285" t="str">
        <f t="shared" si="0"/>
        <v>Сокращенное название</v>
      </c>
      <c r="G61" s="259" t="s">
        <v>326</v>
      </c>
      <c r="H61" s="469" t="str">
        <f t="shared" si="10"/>
        <v>Фамилия_1 Имя Отчество</v>
      </c>
      <c r="I61" s="260">
        <f t="shared" si="3"/>
        <v>0</v>
      </c>
      <c r="J61" s="970">
        <f t="shared" si="4"/>
        <v>0</v>
      </c>
      <c r="K61" s="260">
        <f t="shared" si="5"/>
        <v>0</v>
      </c>
      <c r="L61" s="970">
        <f t="shared" si="11"/>
        <v>0</v>
      </c>
      <c r="M61" s="974">
        <f t="shared" si="6"/>
        <v>0</v>
      </c>
      <c r="N61" s="201">
        <f t="shared" si="7"/>
        <v>0</v>
      </c>
      <c r="O61" s="972">
        <f t="shared" si="8"/>
        <v>0</v>
      </c>
      <c r="P61" s="201">
        <f t="shared" si="9"/>
        <v>0</v>
      </c>
      <c r="Q61" s="264"/>
      <c r="R61" s="969"/>
      <c r="S61" s="969"/>
      <c r="T61" s="969"/>
      <c r="U61" s="969"/>
      <c r="V61" s="262"/>
      <c r="W61" s="1001"/>
      <c r="X61" s="1001"/>
      <c r="Y61" s="1001"/>
      <c r="Z61" s="976"/>
      <c r="AA61" s="261"/>
      <c r="AB61" s="969"/>
      <c r="AC61" s="969"/>
      <c r="AD61" s="969"/>
      <c r="AE61" s="969"/>
      <c r="AF61" s="262"/>
      <c r="AG61" s="969"/>
      <c r="AH61" s="969"/>
      <c r="AI61" s="969"/>
      <c r="AJ61" s="969"/>
      <c r="AK61" s="262"/>
      <c r="AL61" s="969"/>
      <c r="AM61" s="969"/>
      <c r="AN61" s="969"/>
      <c r="AO61" s="969"/>
      <c r="AP61" s="262"/>
      <c r="AQ61" s="969"/>
      <c r="AR61" s="969"/>
      <c r="AS61" s="969"/>
      <c r="AT61" s="969"/>
      <c r="AU61" s="262"/>
      <c r="AV61" s="969"/>
      <c r="AW61" s="969"/>
      <c r="AX61" s="969"/>
      <c r="AY61" s="969"/>
      <c r="AZ61" s="262"/>
      <c r="BA61" s="969"/>
      <c r="BB61" s="969"/>
      <c r="BC61" s="969"/>
      <c r="BD61" s="976"/>
      <c r="BE61" s="195"/>
      <c r="BF61" s="969"/>
      <c r="BG61" s="969"/>
      <c r="BH61" s="969"/>
      <c r="BI61" s="969"/>
      <c r="BJ61" s="65"/>
      <c r="BK61" s="969"/>
      <c r="BL61" s="969"/>
      <c r="BM61" s="969"/>
      <c r="BN61" s="969"/>
      <c r="BO61" s="261"/>
      <c r="BP61" s="969"/>
      <c r="BQ61" s="969"/>
      <c r="BR61" s="969"/>
      <c r="BS61" s="969"/>
      <c r="BT61" s="262"/>
      <c r="BU61" s="969"/>
      <c r="BV61" s="969"/>
      <c r="BW61" s="969"/>
      <c r="BX61" s="969"/>
      <c r="BY61" s="186"/>
      <c r="BZ61" s="969"/>
      <c r="CA61" s="969"/>
      <c r="CB61" s="969"/>
      <c r="CC61" s="969"/>
      <c r="CD61" s="840"/>
      <c r="CE61" s="969"/>
      <c r="CF61" s="969"/>
      <c r="CG61" s="969"/>
      <c r="CH61" s="969"/>
      <c r="CI61" s="261"/>
      <c r="CJ61" s="969"/>
      <c r="CK61" s="969"/>
      <c r="CL61" s="969"/>
      <c r="CM61" s="995"/>
      <c r="CN61" s="998"/>
      <c r="CO61" s="261"/>
      <c r="CP61" s="969"/>
      <c r="CQ61" s="969"/>
      <c r="CR61" s="969"/>
      <c r="CS61" s="995"/>
      <c r="CT61" s="998"/>
      <c r="CU61" s="261"/>
      <c r="CV61" s="969"/>
      <c r="CW61" s="969"/>
      <c r="CX61" s="969"/>
      <c r="CY61" s="995"/>
      <c r="CZ61" s="998"/>
      <c r="DA61" s="261"/>
      <c r="DB61" s="969"/>
      <c r="DC61" s="969"/>
      <c r="DD61" s="969"/>
      <c r="DE61" s="995"/>
      <c r="DF61" s="998"/>
      <c r="DG61" s="56"/>
      <c r="DH61" s="10" t="e">
        <f>SUMIFS(#REF!,#REF!,$C61,#REF!,$E61,#REF!,$F61)</f>
        <v>#REF!</v>
      </c>
      <c r="DI61" s="29" t="e">
        <f>COUNTIFS(#REF!,$C61,#REF!,$E61,#REF!,$F61,#REF!,"&gt;=0")</f>
        <v>#REF!</v>
      </c>
      <c r="DJ61" s="10" t="e">
        <f>COUNTIFS(#REF!,$C61,#REF!,$E61,#REF!,$F61,#REF!,"лично")</f>
        <v>#REF!</v>
      </c>
    </row>
    <row r="62" spans="1:114" ht="12" customHeight="1">
      <c r="A62" s="94">
        <f t="shared" si="12"/>
        <v>30</v>
      </c>
      <c r="B62" s="257" t="s">
        <v>27</v>
      </c>
      <c r="C62" s="255" t="s">
        <v>162</v>
      </c>
      <c r="D62" s="95"/>
      <c r="E62" s="256"/>
      <c r="F62" s="285" t="str">
        <f t="shared" si="0"/>
        <v>Сокращенное название</v>
      </c>
      <c r="G62" s="259" t="s">
        <v>326</v>
      </c>
      <c r="H62" s="469" t="str">
        <f t="shared" si="10"/>
        <v>Фамилия_1 Имя Отчество</v>
      </c>
      <c r="I62" s="260">
        <f t="shared" si="3"/>
        <v>0</v>
      </c>
      <c r="J62" s="970">
        <f t="shared" si="4"/>
        <v>0</v>
      </c>
      <c r="K62" s="260">
        <f t="shared" si="5"/>
        <v>0</v>
      </c>
      <c r="L62" s="970">
        <f t="shared" si="11"/>
        <v>0</v>
      </c>
      <c r="M62" s="974">
        <f t="shared" si="6"/>
        <v>0</v>
      </c>
      <c r="N62" s="201">
        <f t="shared" si="7"/>
        <v>0</v>
      </c>
      <c r="O62" s="972">
        <f t="shared" si="8"/>
        <v>0</v>
      </c>
      <c r="P62" s="201">
        <f t="shared" si="9"/>
        <v>0</v>
      </c>
      <c r="Q62" s="264"/>
      <c r="R62" s="969"/>
      <c r="S62" s="969"/>
      <c r="T62" s="969"/>
      <c r="U62" s="969"/>
      <c r="V62" s="262"/>
      <c r="W62" s="1001"/>
      <c r="X62" s="1001"/>
      <c r="Y62" s="1001"/>
      <c r="Z62" s="976"/>
      <c r="AA62" s="261"/>
      <c r="AB62" s="969"/>
      <c r="AC62" s="969"/>
      <c r="AD62" s="969"/>
      <c r="AE62" s="969"/>
      <c r="AF62" s="262"/>
      <c r="AG62" s="969"/>
      <c r="AH62" s="969"/>
      <c r="AI62" s="969"/>
      <c r="AJ62" s="969"/>
      <c r="AK62" s="262"/>
      <c r="AL62" s="969"/>
      <c r="AM62" s="969"/>
      <c r="AN62" s="969"/>
      <c r="AO62" s="969"/>
      <c r="AP62" s="262"/>
      <c r="AQ62" s="969"/>
      <c r="AR62" s="969"/>
      <c r="AS62" s="969"/>
      <c r="AT62" s="969"/>
      <c r="AU62" s="262"/>
      <c r="AV62" s="969"/>
      <c r="AW62" s="969"/>
      <c r="AX62" s="969"/>
      <c r="AY62" s="969"/>
      <c r="AZ62" s="262"/>
      <c r="BA62" s="969"/>
      <c r="BB62" s="969"/>
      <c r="BC62" s="969"/>
      <c r="BD62" s="976"/>
      <c r="BE62" s="195"/>
      <c r="BF62" s="969"/>
      <c r="BG62" s="969"/>
      <c r="BH62" s="969"/>
      <c r="BI62" s="969"/>
      <c r="BJ62" s="65"/>
      <c r="BK62" s="969"/>
      <c r="BL62" s="969"/>
      <c r="BM62" s="969"/>
      <c r="BN62" s="969"/>
      <c r="BO62" s="261"/>
      <c r="BP62" s="969"/>
      <c r="BQ62" s="969"/>
      <c r="BR62" s="969"/>
      <c r="BS62" s="969"/>
      <c r="BT62" s="262"/>
      <c r="BU62" s="969"/>
      <c r="BV62" s="969"/>
      <c r="BW62" s="969"/>
      <c r="BX62" s="969"/>
      <c r="BY62" s="186"/>
      <c r="BZ62" s="969"/>
      <c r="CA62" s="969"/>
      <c r="CB62" s="969"/>
      <c r="CC62" s="969"/>
      <c r="CD62" s="840"/>
      <c r="CE62" s="969"/>
      <c r="CF62" s="969"/>
      <c r="CG62" s="969"/>
      <c r="CH62" s="969"/>
      <c r="CI62" s="261"/>
      <c r="CJ62" s="969"/>
      <c r="CK62" s="969"/>
      <c r="CL62" s="969"/>
      <c r="CM62" s="995"/>
      <c r="CN62" s="998"/>
      <c r="CO62" s="261"/>
      <c r="CP62" s="969"/>
      <c r="CQ62" s="969"/>
      <c r="CR62" s="969"/>
      <c r="CS62" s="995"/>
      <c r="CT62" s="998"/>
      <c r="CU62" s="261"/>
      <c r="CV62" s="969"/>
      <c r="CW62" s="969"/>
      <c r="CX62" s="969"/>
      <c r="CY62" s="995"/>
      <c r="CZ62" s="998"/>
      <c r="DA62" s="261"/>
      <c r="DB62" s="969"/>
      <c r="DC62" s="969"/>
      <c r="DD62" s="969"/>
      <c r="DE62" s="995"/>
      <c r="DF62" s="998"/>
      <c r="DG62" s="56"/>
      <c r="DH62" s="10" t="e">
        <f>SUMIFS(#REF!,#REF!,$C62,#REF!,$E62,#REF!,$F62)</f>
        <v>#REF!</v>
      </c>
      <c r="DI62" s="29" t="e">
        <f>COUNTIFS(#REF!,$C62,#REF!,$E62,#REF!,$F62,#REF!,"&gt;=0")</f>
        <v>#REF!</v>
      </c>
      <c r="DJ62" s="10" t="e">
        <f>COUNTIFS(#REF!,$C62,#REF!,$E62,#REF!,$F62,#REF!,"лично")</f>
        <v>#REF!</v>
      </c>
    </row>
    <row r="63" spans="1:114" ht="12" customHeight="1">
      <c r="A63" s="94">
        <f t="shared" si="12"/>
        <v>31</v>
      </c>
      <c r="B63" s="257" t="s">
        <v>29</v>
      </c>
      <c r="C63" s="255" t="s">
        <v>162</v>
      </c>
      <c r="D63" s="95"/>
      <c r="E63" s="256"/>
      <c r="F63" s="285" t="str">
        <f t="shared" si="0"/>
        <v>Сокращенное название</v>
      </c>
      <c r="G63" s="259" t="s">
        <v>326</v>
      </c>
      <c r="H63" s="469" t="str">
        <f t="shared" si="10"/>
        <v>Фамилия_1 Имя Отчество</v>
      </c>
      <c r="I63" s="260">
        <f t="shared" si="3"/>
        <v>0</v>
      </c>
      <c r="J63" s="970">
        <f t="shared" si="4"/>
        <v>0</v>
      </c>
      <c r="K63" s="260">
        <f t="shared" si="5"/>
        <v>0</v>
      </c>
      <c r="L63" s="970">
        <f t="shared" si="11"/>
        <v>0</v>
      </c>
      <c r="M63" s="974">
        <f t="shared" si="6"/>
        <v>0</v>
      </c>
      <c r="N63" s="201">
        <f t="shared" si="7"/>
        <v>0</v>
      </c>
      <c r="O63" s="972">
        <f t="shared" si="8"/>
        <v>0</v>
      </c>
      <c r="P63" s="201">
        <f t="shared" si="9"/>
        <v>0</v>
      </c>
      <c r="Q63" s="264"/>
      <c r="R63" s="969"/>
      <c r="S63" s="969"/>
      <c r="T63" s="969"/>
      <c r="U63" s="969"/>
      <c r="V63" s="262"/>
      <c r="W63" s="1001"/>
      <c r="X63" s="1001"/>
      <c r="Y63" s="1001"/>
      <c r="Z63" s="976"/>
      <c r="AA63" s="261"/>
      <c r="AB63" s="969"/>
      <c r="AC63" s="969"/>
      <c r="AD63" s="969"/>
      <c r="AE63" s="969"/>
      <c r="AF63" s="262"/>
      <c r="AG63" s="969"/>
      <c r="AH63" s="969"/>
      <c r="AI63" s="969"/>
      <c r="AJ63" s="969"/>
      <c r="AK63" s="262"/>
      <c r="AL63" s="969"/>
      <c r="AM63" s="969"/>
      <c r="AN63" s="969"/>
      <c r="AO63" s="969"/>
      <c r="AP63" s="262"/>
      <c r="AQ63" s="969"/>
      <c r="AR63" s="969"/>
      <c r="AS63" s="969"/>
      <c r="AT63" s="969"/>
      <c r="AU63" s="262"/>
      <c r="AV63" s="969"/>
      <c r="AW63" s="969"/>
      <c r="AX63" s="969"/>
      <c r="AY63" s="969"/>
      <c r="AZ63" s="262"/>
      <c r="BA63" s="969"/>
      <c r="BB63" s="969"/>
      <c r="BC63" s="969"/>
      <c r="BD63" s="976"/>
      <c r="BE63" s="195"/>
      <c r="BF63" s="969"/>
      <c r="BG63" s="969"/>
      <c r="BH63" s="969"/>
      <c r="BI63" s="969"/>
      <c r="BJ63" s="65"/>
      <c r="BK63" s="969"/>
      <c r="BL63" s="969"/>
      <c r="BM63" s="969"/>
      <c r="BN63" s="969"/>
      <c r="BO63" s="261"/>
      <c r="BP63" s="969"/>
      <c r="BQ63" s="969"/>
      <c r="BR63" s="969"/>
      <c r="BS63" s="969"/>
      <c r="BT63" s="262"/>
      <c r="BU63" s="969"/>
      <c r="BV63" s="969"/>
      <c r="BW63" s="969"/>
      <c r="BX63" s="969"/>
      <c r="BY63" s="186"/>
      <c r="BZ63" s="969"/>
      <c r="CA63" s="969"/>
      <c r="CB63" s="969"/>
      <c r="CC63" s="969"/>
      <c r="CD63" s="840"/>
      <c r="CE63" s="969"/>
      <c r="CF63" s="969"/>
      <c r="CG63" s="969"/>
      <c r="CH63" s="969"/>
      <c r="CI63" s="261"/>
      <c r="CJ63" s="969"/>
      <c r="CK63" s="969"/>
      <c r="CL63" s="969"/>
      <c r="CM63" s="995"/>
      <c r="CN63" s="998"/>
      <c r="CO63" s="261"/>
      <c r="CP63" s="969"/>
      <c r="CQ63" s="969"/>
      <c r="CR63" s="969"/>
      <c r="CS63" s="995"/>
      <c r="CT63" s="998"/>
      <c r="CU63" s="261"/>
      <c r="CV63" s="969"/>
      <c r="CW63" s="969"/>
      <c r="CX63" s="969"/>
      <c r="CY63" s="995"/>
      <c r="CZ63" s="998"/>
      <c r="DA63" s="261"/>
      <c r="DB63" s="969"/>
      <c r="DC63" s="969"/>
      <c r="DD63" s="969"/>
      <c r="DE63" s="995"/>
      <c r="DF63" s="998"/>
      <c r="DG63" s="56"/>
      <c r="DH63" s="10" t="e">
        <f>SUMIFS(#REF!,#REF!,$C63,#REF!,$E63,#REF!,$F63)</f>
        <v>#REF!</v>
      </c>
      <c r="DI63" s="29" t="e">
        <f>COUNTIFS(#REF!,$C63,#REF!,$E63,#REF!,$F63,#REF!,"&gt;=0")</f>
        <v>#REF!</v>
      </c>
      <c r="DJ63" s="10" t="e">
        <f>COUNTIFS(#REF!,$C63,#REF!,$E63,#REF!,$F63,#REF!,"лично")</f>
        <v>#REF!</v>
      </c>
    </row>
    <row r="64" spans="1:114" ht="12" customHeight="1">
      <c r="A64" s="94">
        <f t="shared" si="12"/>
        <v>32</v>
      </c>
      <c r="B64" s="257" t="s">
        <v>29</v>
      </c>
      <c r="C64" s="255" t="s">
        <v>162</v>
      </c>
      <c r="D64" s="95"/>
      <c r="E64" s="256"/>
      <c r="F64" s="285" t="str">
        <f t="shared" si="0"/>
        <v>Сокращенное название</v>
      </c>
      <c r="G64" s="259" t="s">
        <v>326</v>
      </c>
      <c r="H64" s="469" t="str">
        <f t="shared" si="10"/>
        <v>Фамилия_1 Имя Отчество</v>
      </c>
      <c r="I64" s="260">
        <f t="shared" si="3"/>
        <v>0</v>
      </c>
      <c r="J64" s="970">
        <f t="shared" si="4"/>
        <v>0</v>
      </c>
      <c r="K64" s="260">
        <f t="shared" si="5"/>
        <v>0</v>
      </c>
      <c r="L64" s="970">
        <f t="shared" si="11"/>
        <v>0</v>
      </c>
      <c r="M64" s="974">
        <f t="shared" si="6"/>
        <v>0</v>
      </c>
      <c r="N64" s="201">
        <f t="shared" si="7"/>
        <v>0</v>
      </c>
      <c r="O64" s="972">
        <f t="shared" si="8"/>
        <v>0</v>
      </c>
      <c r="P64" s="201">
        <f t="shared" si="9"/>
        <v>0</v>
      </c>
      <c r="Q64" s="264"/>
      <c r="R64" s="969"/>
      <c r="S64" s="969"/>
      <c r="T64" s="969"/>
      <c r="U64" s="969"/>
      <c r="V64" s="262"/>
      <c r="W64" s="1001"/>
      <c r="X64" s="1001"/>
      <c r="Y64" s="1001"/>
      <c r="Z64" s="976"/>
      <c r="AA64" s="261"/>
      <c r="AB64" s="969"/>
      <c r="AC64" s="969"/>
      <c r="AD64" s="969"/>
      <c r="AE64" s="969"/>
      <c r="AF64" s="262"/>
      <c r="AG64" s="969"/>
      <c r="AH64" s="969"/>
      <c r="AI64" s="969"/>
      <c r="AJ64" s="969"/>
      <c r="AK64" s="262"/>
      <c r="AL64" s="969"/>
      <c r="AM64" s="969"/>
      <c r="AN64" s="969"/>
      <c r="AO64" s="969"/>
      <c r="AP64" s="262"/>
      <c r="AQ64" s="969"/>
      <c r="AR64" s="969"/>
      <c r="AS64" s="969"/>
      <c r="AT64" s="969"/>
      <c r="AU64" s="262"/>
      <c r="AV64" s="969"/>
      <c r="AW64" s="969"/>
      <c r="AX64" s="969"/>
      <c r="AY64" s="969"/>
      <c r="AZ64" s="262"/>
      <c r="BA64" s="969"/>
      <c r="BB64" s="969"/>
      <c r="BC64" s="969"/>
      <c r="BD64" s="976"/>
      <c r="BE64" s="195"/>
      <c r="BF64" s="969"/>
      <c r="BG64" s="969"/>
      <c r="BH64" s="969"/>
      <c r="BI64" s="969"/>
      <c r="BJ64" s="65"/>
      <c r="BK64" s="969"/>
      <c r="BL64" s="969"/>
      <c r="BM64" s="969"/>
      <c r="BN64" s="969"/>
      <c r="BO64" s="261"/>
      <c r="BP64" s="969"/>
      <c r="BQ64" s="969"/>
      <c r="BR64" s="969"/>
      <c r="BS64" s="969"/>
      <c r="BT64" s="262"/>
      <c r="BU64" s="969"/>
      <c r="BV64" s="969"/>
      <c r="BW64" s="969"/>
      <c r="BX64" s="969"/>
      <c r="BY64" s="186"/>
      <c r="BZ64" s="969"/>
      <c r="CA64" s="969"/>
      <c r="CB64" s="969"/>
      <c r="CC64" s="969"/>
      <c r="CD64" s="840"/>
      <c r="CE64" s="969"/>
      <c r="CF64" s="969"/>
      <c r="CG64" s="969"/>
      <c r="CH64" s="969"/>
      <c r="CI64" s="261"/>
      <c r="CJ64" s="969"/>
      <c r="CK64" s="969"/>
      <c r="CL64" s="969"/>
      <c r="CM64" s="995"/>
      <c r="CN64" s="998"/>
      <c r="CO64" s="261"/>
      <c r="CP64" s="969"/>
      <c r="CQ64" s="969"/>
      <c r="CR64" s="969"/>
      <c r="CS64" s="995"/>
      <c r="CT64" s="998"/>
      <c r="CU64" s="261"/>
      <c r="CV64" s="969"/>
      <c r="CW64" s="969"/>
      <c r="CX64" s="969"/>
      <c r="CY64" s="995"/>
      <c r="CZ64" s="998"/>
      <c r="DA64" s="261"/>
      <c r="DB64" s="969"/>
      <c r="DC64" s="969"/>
      <c r="DD64" s="969"/>
      <c r="DE64" s="995"/>
      <c r="DF64" s="998"/>
      <c r="DG64" s="56"/>
      <c r="DH64" s="10" t="e">
        <f>SUMIFS(#REF!,#REF!,$C64,#REF!,$E64,#REF!,$F64)</f>
        <v>#REF!</v>
      </c>
      <c r="DI64" s="29" t="e">
        <f>COUNTIFS(#REF!,$C64,#REF!,$E64,#REF!,$F64,#REF!,"&gt;=0")</f>
        <v>#REF!</v>
      </c>
      <c r="DJ64" s="10" t="e">
        <f>COUNTIFS(#REF!,$C64,#REF!,$E64,#REF!,$F64,#REF!,"лично")</f>
        <v>#REF!</v>
      </c>
    </row>
    <row r="65" spans="1:114" ht="12" customHeight="1">
      <c r="A65" s="94">
        <f t="shared" si="12"/>
        <v>33</v>
      </c>
      <c r="B65" s="257" t="s">
        <v>29</v>
      </c>
      <c r="C65" s="255" t="s">
        <v>162</v>
      </c>
      <c r="D65" s="95"/>
      <c r="E65" s="256"/>
      <c r="F65" s="285" t="str">
        <f t="shared" si="0"/>
        <v>Сокращенное название</v>
      </c>
      <c r="G65" s="259" t="s">
        <v>326</v>
      </c>
      <c r="H65" s="469" t="str">
        <f t="shared" si="10"/>
        <v>Фамилия_1 Имя Отчество</v>
      </c>
      <c r="I65" s="260">
        <f t="shared" si="3"/>
        <v>0</v>
      </c>
      <c r="J65" s="970">
        <f t="shared" si="4"/>
        <v>0</v>
      </c>
      <c r="K65" s="260">
        <f t="shared" si="5"/>
        <v>0</v>
      </c>
      <c r="L65" s="970">
        <f t="shared" si="11"/>
        <v>0</v>
      </c>
      <c r="M65" s="974">
        <f t="shared" si="6"/>
        <v>0</v>
      </c>
      <c r="N65" s="201">
        <f t="shared" si="7"/>
        <v>0</v>
      </c>
      <c r="O65" s="972">
        <f t="shared" si="8"/>
        <v>0</v>
      </c>
      <c r="P65" s="201">
        <f t="shared" si="9"/>
        <v>0</v>
      </c>
      <c r="Q65" s="264"/>
      <c r="R65" s="969"/>
      <c r="S65" s="969"/>
      <c r="T65" s="969"/>
      <c r="U65" s="969"/>
      <c r="V65" s="262"/>
      <c r="W65" s="1001"/>
      <c r="X65" s="1001"/>
      <c r="Y65" s="1001"/>
      <c r="Z65" s="976"/>
      <c r="AA65" s="261"/>
      <c r="AB65" s="969"/>
      <c r="AC65" s="969"/>
      <c r="AD65" s="969"/>
      <c r="AE65" s="969"/>
      <c r="AF65" s="262"/>
      <c r="AG65" s="969"/>
      <c r="AH65" s="969"/>
      <c r="AI65" s="969"/>
      <c r="AJ65" s="969"/>
      <c r="AK65" s="262"/>
      <c r="AL65" s="969"/>
      <c r="AM65" s="969"/>
      <c r="AN65" s="969"/>
      <c r="AO65" s="969"/>
      <c r="AP65" s="262"/>
      <c r="AQ65" s="969"/>
      <c r="AR65" s="969"/>
      <c r="AS65" s="969"/>
      <c r="AT65" s="969"/>
      <c r="AU65" s="262"/>
      <c r="AV65" s="969"/>
      <c r="AW65" s="969"/>
      <c r="AX65" s="969"/>
      <c r="AY65" s="969"/>
      <c r="AZ65" s="262"/>
      <c r="BA65" s="969"/>
      <c r="BB65" s="969"/>
      <c r="BC65" s="969"/>
      <c r="BD65" s="976"/>
      <c r="BE65" s="195"/>
      <c r="BF65" s="969"/>
      <c r="BG65" s="969"/>
      <c r="BH65" s="969"/>
      <c r="BI65" s="969"/>
      <c r="BJ65" s="65"/>
      <c r="BK65" s="969"/>
      <c r="BL65" s="969"/>
      <c r="BM65" s="969"/>
      <c r="BN65" s="969"/>
      <c r="BO65" s="261"/>
      <c r="BP65" s="969"/>
      <c r="BQ65" s="969"/>
      <c r="BR65" s="969"/>
      <c r="BS65" s="969"/>
      <c r="BT65" s="262"/>
      <c r="BU65" s="969"/>
      <c r="BV65" s="969"/>
      <c r="BW65" s="969"/>
      <c r="BX65" s="969"/>
      <c r="BY65" s="186"/>
      <c r="BZ65" s="969"/>
      <c r="CA65" s="969"/>
      <c r="CB65" s="969"/>
      <c r="CC65" s="969"/>
      <c r="CD65" s="840"/>
      <c r="CE65" s="969"/>
      <c r="CF65" s="969"/>
      <c r="CG65" s="969"/>
      <c r="CH65" s="969"/>
      <c r="CI65" s="261"/>
      <c r="CJ65" s="969"/>
      <c r="CK65" s="969"/>
      <c r="CL65" s="969"/>
      <c r="CM65" s="995"/>
      <c r="CN65" s="998"/>
      <c r="CO65" s="261"/>
      <c r="CP65" s="969"/>
      <c r="CQ65" s="969"/>
      <c r="CR65" s="969"/>
      <c r="CS65" s="995"/>
      <c r="CT65" s="998"/>
      <c r="CU65" s="261"/>
      <c r="CV65" s="969"/>
      <c r="CW65" s="969"/>
      <c r="CX65" s="969"/>
      <c r="CY65" s="995"/>
      <c r="CZ65" s="998"/>
      <c r="DA65" s="261"/>
      <c r="DB65" s="969"/>
      <c r="DC65" s="969"/>
      <c r="DD65" s="969"/>
      <c r="DE65" s="995"/>
      <c r="DF65" s="998"/>
      <c r="DG65" s="56"/>
      <c r="DH65" s="10" t="e">
        <f>SUMIFS(#REF!,#REF!,$C65,#REF!,$E65,#REF!,$F65)</f>
        <v>#REF!</v>
      </c>
      <c r="DI65" s="29" t="e">
        <f>COUNTIFS(#REF!,$C65,#REF!,$E65,#REF!,$F65,#REF!,"&gt;=0")</f>
        <v>#REF!</v>
      </c>
      <c r="DJ65" s="10" t="e">
        <f>COUNTIFS(#REF!,$C65,#REF!,$E65,#REF!,$F65,#REF!,"лично")</f>
        <v>#REF!</v>
      </c>
    </row>
    <row r="66" spans="1:114" ht="12" customHeight="1">
      <c r="A66" s="94">
        <f t="shared" si="12"/>
        <v>34</v>
      </c>
      <c r="B66" s="257" t="s">
        <v>23</v>
      </c>
      <c r="C66" s="255" t="s">
        <v>162</v>
      </c>
      <c r="D66" s="95"/>
      <c r="E66" s="256"/>
      <c r="F66" s="285" t="str">
        <f t="shared" si="0"/>
        <v>Сокращенное название</v>
      </c>
      <c r="G66" s="259" t="s">
        <v>326</v>
      </c>
      <c r="H66" s="469" t="str">
        <f t="shared" si="10"/>
        <v>Фамилия_1 Имя Отчество</v>
      </c>
      <c r="I66" s="260">
        <f t="shared" si="3"/>
        <v>0</v>
      </c>
      <c r="J66" s="970">
        <f t="shared" si="4"/>
        <v>0</v>
      </c>
      <c r="K66" s="260">
        <f t="shared" si="5"/>
        <v>0</v>
      </c>
      <c r="L66" s="970">
        <f t="shared" si="11"/>
        <v>0</v>
      </c>
      <c r="M66" s="974">
        <f t="shared" si="6"/>
        <v>0</v>
      </c>
      <c r="N66" s="201">
        <f t="shared" si="7"/>
        <v>0</v>
      </c>
      <c r="O66" s="972">
        <f t="shared" si="8"/>
        <v>0</v>
      </c>
      <c r="P66" s="201">
        <f t="shared" si="9"/>
        <v>0</v>
      </c>
      <c r="Q66" s="264"/>
      <c r="R66" s="969"/>
      <c r="S66" s="969"/>
      <c r="T66" s="969"/>
      <c r="U66" s="969"/>
      <c r="V66" s="262"/>
      <c r="W66" s="1001"/>
      <c r="X66" s="1001"/>
      <c r="Y66" s="1001"/>
      <c r="Z66" s="976"/>
      <c r="AA66" s="261"/>
      <c r="AB66" s="969"/>
      <c r="AC66" s="969"/>
      <c r="AD66" s="969"/>
      <c r="AE66" s="969"/>
      <c r="AF66" s="262"/>
      <c r="AG66" s="969"/>
      <c r="AH66" s="969"/>
      <c r="AI66" s="969"/>
      <c r="AJ66" s="969"/>
      <c r="AK66" s="262"/>
      <c r="AL66" s="969"/>
      <c r="AM66" s="969"/>
      <c r="AN66" s="969"/>
      <c r="AO66" s="969"/>
      <c r="AP66" s="262"/>
      <c r="AQ66" s="969"/>
      <c r="AR66" s="969"/>
      <c r="AS66" s="969"/>
      <c r="AT66" s="969"/>
      <c r="AU66" s="262"/>
      <c r="AV66" s="969"/>
      <c r="AW66" s="969"/>
      <c r="AX66" s="969"/>
      <c r="AY66" s="969"/>
      <c r="AZ66" s="262"/>
      <c r="BA66" s="969"/>
      <c r="BB66" s="969"/>
      <c r="BC66" s="969"/>
      <c r="BD66" s="976"/>
      <c r="BE66" s="195"/>
      <c r="BF66" s="969"/>
      <c r="BG66" s="969"/>
      <c r="BH66" s="969"/>
      <c r="BI66" s="969"/>
      <c r="BJ66" s="65"/>
      <c r="BK66" s="969"/>
      <c r="BL66" s="969"/>
      <c r="BM66" s="969"/>
      <c r="BN66" s="969"/>
      <c r="BO66" s="261"/>
      <c r="BP66" s="969"/>
      <c r="BQ66" s="969"/>
      <c r="BR66" s="969"/>
      <c r="BS66" s="969"/>
      <c r="BT66" s="262"/>
      <c r="BU66" s="969"/>
      <c r="BV66" s="969"/>
      <c r="BW66" s="969"/>
      <c r="BX66" s="969"/>
      <c r="BY66" s="186"/>
      <c r="BZ66" s="969"/>
      <c r="CA66" s="969"/>
      <c r="CB66" s="969"/>
      <c r="CC66" s="969"/>
      <c r="CD66" s="840"/>
      <c r="CE66" s="969"/>
      <c r="CF66" s="969"/>
      <c r="CG66" s="969"/>
      <c r="CH66" s="969"/>
      <c r="CI66" s="261"/>
      <c r="CJ66" s="969"/>
      <c r="CK66" s="969"/>
      <c r="CL66" s="969"/>
      <c r="CM66" s="995"/>
      <c r="CN66" s="998"/>
      <c r="CO66" s="261"/>
      <c r="CP66" s="969"/>
      <c r="CQ66" s="969"/>
      <c r="CR66" s="969"/>
      <c r="CS66" s="995"/>
      <c r="CT66" s="998"/>
      <c r="CU66" s="261"/>
      <c r="CV66" s="969"/>
      <c r="CW66" s="969"/>
      <c r="CX66" s="969"/>
      <c r="CY66" s="995"/>
      <c r="CZ66" s="998"/>
      <c r="DA66" s="261"/>
      <c r="DB66" s="969"/>
      <c r="DC66" s="969"/>
      <c r="DD66" s="969"/>
      <c r="DE66" s="995"/>
      <c r="DF66" s="998"/>
      <c r="DG66" s="56"/>
      <c r="DH66" s="10" t="e">
        <f>SUMIFS(#REF!,#REF!,$C66,#REF!,$E66,#REF!,$F66)</f>
        <v>#REF!</v>
      </c>
      <c r="DI66" s="29" t="e">
        <f>COUNTIFS(#REF!,$C66,#REF!,$E66,#REF!,$F66,#REF!,"&gt;=0")</f>
        <v>#REF!</v>
      </c>
      <c r="DJ66" s="10" t="e">
        <f>COUNTIFS(#REF!,$C66,#REF!,$E66,#REF!,$F66,#REF!,"лично")</f>
        <v>#REF!</v>
      </c>
    </row>
    <row r="67" spans="1:114" ht="12" customHeight="1">
      <c r="A67" s="94">
        <f t="shared" si="12"/>
        <v>35</v>
      </c>
      <c r="B67" s="257" t="s">
        <v>25</v>
      </c>
      <c r="C67" s="255" t="s">
        <v>162</v>
      </c>
      <c r="D67" s="95"/>
      <c r="E67" s="256"/>
      <c r="F67" s="285" t="str">
        <f t="shared" si="0"/>
        <v>Сокращенное название</v>
      </c>
      <c r="G67" s="259" t="s">
        <v>326</v>
      </c>
      <c r="H67" s="469" t="str">
        <f t="shared" si="10"/>
        <v>Фамилия_1 Имя Отчество</v>
      </c>
      <c r="I67" s="260">
        <f t="shared" si="3"/>
        <v>0</v>
      </c>
      <c r="J67" s="970">
        <f t="shared" si="4"/>
        <v>0</v>
      </c>
      <c r="K67" s="260">
        <f t="shared" si="5"/>
        <v>0</v>
      </c>
      <c r="L67" s="970">
        <f t="shared" si="11"/>
        <v>0</v>
      </c>
      <c r="M67" s="974">
        <f t="shared" si="6"/>
        <v>0</v>
      </c>
      <c r="N67" s="201">
        <f t="shared" si="7"/>
        <v>0</v>
      </c>
      <c r="O67" s="972">
        <f t="shared" si="8"/>
        <v>0</v>
      </c>
      <c r="P67" s="201">
        <f t="shared" si="9"/>
        <v>0</v>
      </c>
      <c r="Q67" s="264"/>
      <c r="R67" s="969"/>
      <c r="S67" s="969"/>
      <c r="T67" s="969"/>
      <c r="U67" s="969"/>
      <c r="V67" s="262"/>
      <c r="W67" s="1001"/>
      <c r="X67" s="1001"/>
      <c r="Y67" s="1001"/>
      <c r="Z67" s="976"/>
      <c r="AA67" s="261"/>
      <c r="AB67" s="969"/>
      <c r="AC67" s="969"/>
      <c r="AD67" s="969"/>
      <c r="AE67" s="969"/>
      <c r="AF67" s="262"/>
      <c r="AG67" s="969"/>
      <c r="AH67" s="969"/>
      <c r="AI67" s="969"/>
      <c r="AJ67" s="969"/>
      <c r="AK67" s="262"/>
      <c r="AL67" s="969"/>
      <c r="AM67" s="969"/>
      <c r="AN67" s="969"/>
      <c r="AO67" s="969"/>
      <c r="AP67" s="262"/>
      <c r="AQ67" s="969"/>
      <c r="AR67" s="969"/>
      <c r="AS67" s="969"/>
      <c r="AT67" s="969"/>
      <c r="AU67" s="262"/>
      <c r="AV67" s="969"/>
      <c r="AW67" s="969"/>
      <c r="AX67" s="969"/>
      <c r="AY67" s="969"/>
      <c r="AZ67" s="262"/>
      <c r="BA67" s="969"/>
      <c r="BB67" s="969"/>
      <c r="BC67" s="969"/>
      <c r="BD67" s="976"/>
      <c r="BE67" s="195"/>
      <c r="BF67" s="969"/>
      <c r="BG67" s="969"/>
      <c r="BH67" s="969"/>
      <c r="BI67" s="969"/>
      <c r="BJ67" s="65"/>
      <c r="BK67" s="969"/>
      <c r="BL67" s="969"/>
      <c r="BM67" s="969"/>
      <c r="BN67" s="969"/>
      <c r="BO67" s="261"/>
      <c r="BP67" s="969"/>
      <c r="BQ67" s="969"/>
      <c r="BR67" s="969"/>
      <c r="BS67" s="969"/>
      <c r="BT67" s="262"/>
      <c r="BU67" s="969"/>
      <c r="BV67" s="969"/>
      <c r="BW67" s="969"/>
      <c r="BX67" s="969"/>
      <c r="BY67" s="186"/>
      <c r="BZ67" s="969"/>
      <c r="CA67" s="969"/>
      <c r="CB67" s="969"/>
      <c r="CC67" s="969"/>
      <c r="CD67" s="840"/>
      <c r="CE67" s="969"/>
      <c r="CF67" s="969"/>
      <c r="CG67" s="969"/>
      <c r="CH67" s="969"/>
      <c r="CI67" s="261"/>
      <c r="CJ67" s="969"/>
      <c r="CK67" s="969"/>
      <c r="CL67" s="969"/>
      <c r="CM67" s="995"/>
      <c r="CN67" s="998"/>
      <c r="CO67" s="261"/>
      <c r="CP67" s="969"/>
      <c r="CQ67" s="969"/>
      <c r="CR67" s="969"/>
      <c r="CS67" s="995"/>
      <c r="CT67" s="998"/>
      <c r="CU67" s="261"/>
      <c r="CV67" s="969"/>
      <c r="CW67" s="969"/>
      <c r="CX67" s="969"/>
      <c r="CY67" s="995"/>
      <c r="CZ67" s="998"/>
      <c r="DA67" s="261"/>
      <c r="DB67" s="969"/>
      <c r="DC67" s="969"/>
      <c r="DD67" s="969"/>
      <c r="DE67" s="995"/>
      <c r="DF67" s="998"/>
      <c r="DG67" s="56"/>
      <c r="DH67" s="10" t="e">
        <f>SUMIFS(#REF!,#REF!,$C67,#REF!,$E67,#REF!,$F67)</f>
        <v>#REF!</v>
      </c>
      <c r="DI67" s="29" t="e">
        <f>COUNTIFS(#REF!,$C67,#REF!,$E67,#REF!,$F67,#REF!,"&gt;=0")</f>
        <v>#REF!</v>
      </c>
      <c r="DJ67" s="10" t="e">
        <f>COUNTIFS(#REF!,$C67,#REF!,$E67,#REF!,$F67,#REF!,"лично")</f>
        <v>#REF!</v>
      </c>
    </row>
    <row r="68" spans="1:114" ht="12" customHeight="1">
      <c r="A68" s="94">
        <f t="shared" si="12"/>
        <v>36</v>
      </c>
      <c r="B68" s="257" t="s">
        <v>27</v>
      </c>
      <c r="C68" s="255" t="s">
        <v>162</v>
      </c>
      <c r="D68" s="95"/>
      <c r="E68" s="256"/>
      <c r="F68" s="285" t="str">
        <f t="shared" si="0"/>
        <v>Сокращенное название</v>
      </c>
      <c r="G68" s="259" t="s">
        <v>326</v>
      </c>
      <c r="H68" s="469" t="str">
        <f t="shared" si="10"/>
        <v>Фамилия_1 Имя Отчество</v>
      </c>
      <c r="I68" s="260">
        <f t="shared" si="3"/>
        <v>0</v>
      </c>
      <c r="J68" s="970">
        <f t="shared" si="4"/>
        <v>0</v>
      </c>
      <c r="K68" s="260">
        <f t="shared" si="5"/>
        <v>0</v>
      </c>
      <c r="L68" s="970">
        <f t="shared" si="11"/>
        <v>0</v>
      </c>
      <c r="M68" s="974">
        <f t="shared" si="6"/>
        <v>0</v>
      </c>
      <c r="N68" s="201">
        <f t="shared" si="7"/>
        <v>0</v>
      </c>
      <c r="O68" s="972">
        <f t="shared" si="8"/>
        <v>0</v>
      </c>
      <c r="P68" s="201">
        <f t="shared" si="9"/>
        <v>0</v>
      </c>
      <c r="Q68" s="264"/>
      <c r="R68" s="969"/>
      <c r="S68" s="969"/>
      <c r="T68" s="969"/>
      <c r="U68" s="969"/>
      <c r="V68" s="262"/>
      <c r="W68" s="1001"/>
      <c r="X68" s="1001"/>
      <c r="Y68" s="1001"/>
      <c r="Z68" s="976"/>
      <c r="AA68" s="261"/>
      <c r="AB68" s="969"/>
      <c r="AC68" s="969"/>
      <c r="AD68" s="969"/>
      <c r="AE68" s="969"/>
      <c r="AF68" s="262"/>
      <c r="AG68" s="969"/>
      <c r="AH68" s="969"/>
      <c r="AI68" s="969"/>
      <c r="AJ68" s="969"/>
      <c r="AK68" s="262"/>
      <c r="AL68" s="969"/>
      <c r="AM68" s="969"/>
      <c r="AN68" s="969"/>
      <c r="AO68" s="969"/>
      <c r="AP68" s="262"/>
      <c r="AQ68" s="969"/>
      <c r="AR68" s="969"/>
      <c r="AS68" s="969"/>
      <c r="AT68" s="969"/>
      <c r="AU68" s="262"/>
      <c r="AV68" s="969"/>
      <c r="AW68" s="969"/>
      <c r="AX68" s="969"/>
      <c r="AY68" s="969"/>
      <c r="AZ68" s="262"/>
      <c r="BA68" s="969"/>
      <c r="BB68" s="969"/>
      <c r="BC68" s="969"/>
      <c r="BD68" s="976"/>
      <c r="BE68" s="195"/>
      <c r="BF68" s="969"/>
      <c r="BG68" s="969"/>
      <c r="BH68" s="969"/>
      <c r="BI68" s="969"/>
      <c r="BJ68" s="65"/>
      <c r="BK68" s="969"/>
      <c r="BL68" s="969"/>
      <c r="BM68" s="969"/>
      <c r="BN68" s="969"/>
      <c r="BO68" s="261"/>
      <c r="BP68" s="969"/>
      <c r="BQ68" s="969"/>
      <c r="BR68" s="969"/>
      <c r="BS68" s="969"/>
      <c r="BT68" s="262"/>
      <c r="BU68" s="969"/>
      <c r="BV68" s="969"/>
      <c r="BW68" s="969"/>
      <c r="BX68" s="969"/>
      <c r="BY68" s="186"/>
      <c r="BZ68" s="969"/>
      <c r="CA68" s="969"/>
      <c r="CB68" s="969"/>
      <c r="CC68" s="969"/>
      <c r="CD68" s="840"/>
      <c r="CE68" s="969"/>
      <c r="CF68" s="969"/>
      <c r="CG68" s="969"/>
      <c r="CH68" s="969"/>
      <c r="CI68" s="261"/>
      <c r="CJ68" s="969"/>
      <c r="CK68" s="969"/>
      <c r="CL68" s="969"/>
      <c r="CM68" s="995"/>
      <c r="CN68" s="998"/>
      <c r="CO68" s="261"/>
      <c r="CP68" s="969"/>
      <c r="CQ68" s="969"/>
      <c r="CR68" s="969"/>
      <c r="CS68" s="995"/>
      <c r="CT68" s="998"/>
      <c r="CU68" s="261"/>
      <c r="CV68" s="969"/>
      <c r="CW68" s="969"/>
      <c r="CX68" s="969"/>
      <c r="CY68" s="995"/>
      <c r="CZ68" s="998"/>
      <c r="DA68" s="261"/>
      <c r="DB68" s="969"/>
      <c r="DC68" s="969"/>
      <c r="DD68" s="969"/>
      <c r="DE68" s="995"/>
      <c r="DF68" s="998"/>
      <c r="DG68" s="56"/>
      <c r="DH68" s="10" t="e">
        <f>SUMIFS(#REF!,#REF!,$C68,#REF!,$E68,#REF!,$F68)</f>
        <v>#REF!</v>
      </c>
      <c r="DI68" s="29" t="e">
        <f>COUNTIFS(#REF!,$C68,#REF!,$E68,#REF!,$F68,#REF!,"&gt;=0")</f>
        <v>#REF!</v>
      </c>
      <c r="DJ68" s="10" t="e">
        <f>COUNTIFS(#REF!,$C68,#REF!,$E68,#REF!,$F68,#REF!,"лично")</f>
        <v>#REF!</v>
      </c>
    </row>
    <row r="69" spans="1:114" ht="12" customHeight="1">
      <c r="A69" s="94">
        <f t="shared" si="12"/>
        <v>37</v>
      </c>
      <c r="B69" s="257" t="s">
        <v>29</v>
      </c>
      <c r="C69" s="255" t="s">
        <v>162</v>
      </c>
      <c r="D69" s="95"/>
      <c r="E69" s="256"/>
      <c r="F69" s="285" t="str">
        <f t="shared" si="0"/>
        <v>Сокращенное название</v>
      </c>
      <c r="G69" s="259" t="s">
        <v>326</v>
      </c>
      <c r="H69" s="469" t="str">
        <f t="shared" si="10"/>
        <v>Фамилия_1 Имя Отчество</v>
      </c>
      <c r="I69" s="260">
        <f t="shared" si="3"/>
        <v>0</v>
      </c>
      <c r="J69" s="970">
        <f t="shared" si="4"/>
        <v>0</v>
      </c>
      <c r="K69" s="260">
        <f t="shared" si="5"/>
        <v>0</v>
      </c>
      <c r="L69" s="970">
        <f t="shared" si="11"/>
        <v>0</v>
      </c>
      <c r="M69" s="974">
        <f t="shared" si="6"/>
        <v>0</v>
      </c>
      <c r="N69" s="201">
        <f t="shared" si="7"/>
        <v>0</v>
      </c>
      <c r="O69" s="972">
        <f t="shared" si="8"/>
        <v>0</v>
      </c>
      <c r="P69" s="201">
        <f t="shared" si="9"/>
        <v>0</v>
      </c>
      <c r="Q69" s="264"/>
      <c r="R69" s="969"/>
      <c r="S69" s="969"/>
      <c r="T69" s="969"/>
      <c r="U69" s="969"/>
      <c r="V69" s="262"/>
      <c r="W69" s="1001"/>
      <c r="X69" s="1001"/>
      <c r="Y69" s="1001"/>
      <c r="Z69" s="976"/>
      <c r="AA69" s="261"/>
      <c r="AB69" s="969"/>
      <c r="AC69" s="969"/>
      <c r="AD69" s="969"/>
      <c r="AE69" s="969"/>
      <c r="AF69" s="262"/>
      <c r="AG69" s="969"/>
      <c r="AH69" s="969"/>
      <c r="AI69" s="969"/>
      <c r="AJ69" s="969"/>
      <c r="AK69" s="262"/>
      <c r="AL69" s="969"/>
      <c r="AM69" s="969"/>
      <c r="AN69" s="969"/>
      <c r="AO69" s="969"/>
      <c r="AP69" s="262"/>
      <c r="AQ69" s="969"/>
      <c r="AR69" s="969"/>
      <c r="AS69" s="969"/>
      <c r="AT69" s="969"/>
      <c r="AU69" s="262"/>
      <c r="AV69" s="969"/>
      <c r="AW69" s="969"/>
      <c r="AX69" s="969"/>
      <c r="AY69" s="969"/>
      <c r="AZ69" s="262"/>
      <c r="BA69" s="969"/>
      <c r="BB69" s="969"/>
      <c r="BC69" s="969"/>
      <c r="BD69" s="976"/>
      <c r="BE69" s="195"/>
      <c r="BF69" s="969"/>
      <c r="BG69" s="969"/>
      <c r="BH69" s="969"/>
      <c r="BI69" s="969"/>
      <c r="BJ69" s="65"/>
      <c r="BK69" s="969"/>
      <c r="BL69" s="969"/>
      <c r="BM69" s="969"/>
      <c r="BN69" s="969"/>
      <c r="BO69" s="261"/>
      <c r="BP69" s="969"/>
      <c r="BQ69" s="969"/>
      <c r="BR69" s="969"/>
      <c r="BS69" s="969"/>
      <c r="BT69" s="262"/>
      <c r="BU69" s="969"/>
      <c r="BV69" s="969"/>
      <c r="BW69" s="969"/>
      <c r="BX69" s="969"/>
      <c r="BY69" s="186"/>
      <c r="BZ69" s="969"/>
      <c r="CA69" s="969"/>
      <c r="CB69" s="969"/>
      <c r="CC69" s="969"/>
      <c r="CD69" s="840"/>
      <c r="CE69" s="969"/>
      <c r="CF69" s="969"/>
      <c r="CG69" s="969"/>
      <c r="CH69" s="969"/>
      <c r="CI69" s="261"/>
      <c r="CJ69" s="969"/>
      <c r="CK69" s="969"/>
      <c r="CL69" s="969"/>
      <c r="CM69" s="995"/>
      <c r="CN69" s="998"/>
      <c r="CO69" s="261"/>
      <c r="CP69" s="969"/>
      <c r="CQ69" s="969"/>
      <c r="CR69" s="969"/>
      <c r="CS69" s="995"/>
      <c r="CT69" s="998"/>
      <c r="CU69" s="261"/>
      <c r="CV69" s="969"/>
      <c r="CW69" s="969"/>
      <c r="CX69" s="969"/>
      <c r="CY69" s="995"/>
      <c r="CZ69" s="998"/>
      <c r="DA69" s="261"/>
      <c r="DB69" s="969"/>
      <c r="DC69" s="969"/>
      <c r="DD69" s="969"/>
      <c r="DE69" s="995"/>
      <c r="DF69" s="998"/>
      <c r="DG69" s="56"/>
      <c r="DH69" s="10" t="e">
        <f>SUMIFS(#REF!,#REF!,$C69,#REF!,$E69,#REF!,$F69)</f>
        <v>#REF!</v>
      </c>
      <c r="DI69" s="29" t="e">
        <f>COUNTIFS(#REF!,$C69,#REF!,$E69,#REF!,$F69,#REF!,"&gt;=0")</f>
        <v>#REF!</v>
      </c>
      <c r="DJ69" s="10" t="e">
        <f>COUNTIFS(#REF!,$C69,#REF!,$E69,#REF!,$F69,#REF!,"лично")</f>
        <v>#REF!</v>
      </c>
    </row>
    <row r="70" spans="1:114" ht="12" customHeight="1">
      <c r="A70" s="94">
        <f t="shared" si="12"/>
        <v>38</v>
      </c>
      <c r="B70" s="257" t="s">
        <v>29</v>
      </c>
      <c r="C70" s="255" t="s">
        <v>162</v>
      </c>
      <c r="D70" s="95"/>
      <c r="E70" s="256"/>
      <c r="F70" s="285" t="str">
        <f t="shared" si="0"/>
        <v>Сокращенное название</v>
      </c>
      <c r="G70" s="259" t="s">
        <v>326</v>
      </c>
      <c r="H70" s="469" t="str">
        <f t="shared" si="10"/>
        <v>Фамилия_1 Имя Отчество</v>
      </c>
      <c r="I70" s="260">
        <f t="shared" si="3"/>
        <v>0</v>
      </c>
      <c r="J70" s="970">
        <f t="shared" si="4"/>
        <v>0</v>
      </c>
      <c r="K70" s="260">
        <f t="shared" si="5"/>
        <v>0</v>
      </c>
      <c r="L70" s="970">
        <f t="shared" si="11"/>
        <v>0</v>
      </c>
      <c r="M70" s="974">
        <f t="shared" si="6"/>
        <v>0</v>
      </c>
      <c r="N70" s="201">
        <f t="shared" si="7"/>
        <v>0</v>
      </c>
      <c r="O70" s="972">
        <f t="shared" si="8"/>
        <v>0</v>
      </c>
      <c r="P70" s="201">
        <f t="shared" si="9"/>
        <v>0</v>
      </c>
      <c r="Q70" s="264"/>
      <c r="R70" s="969"/>
      <c r="S70" s="969"/>
      <c r="T70" s="969"/>
      <c r="U70" s="969"/>
      <c r="V70" s="262"/>
      <c r="W70" s="1001"/>
      <c r="X70" s="1001"/>
      <c r="Y70" s="1001"/>
      <c r="Z70" s="976"/>
      <c r="AA70" s="261"/>
      <c r="AB70" s="969"/>
      <c r="AC70" s="969"/>
      <c r="AD70" s="969"/>
      <c r="AE70" s="969"/>
      <c r="AF70" s="262"/>
      <c r="AG70" s="969"/>
      <c r="AH70" s="969"/>
      <c r="AI70" s="969"/>
      <c r="AJ70" s="969"/>
      <c r="AK70" s="262"/>
      <c r="AL70" s="969"/>
      <c r="AM70" s="969"/>
      <c r="AN70" s="969"/>
      <c r="AO70" s="969"/>
      <c r="AP70" s="262"/>
      <c r="AQ70" s="969"/>
      <c r="AR70" s="969"/>
      <c r="AS70" s="969"/>
      <c r="AT70" s="969"/>
      <c r="AU70" s="262"/>
      <c r="AV70" s="969"/>
      <c r="AW70" s="969"/>
      <c r="AX70" s="969"/>
      <c r="AY70" s="969"/>
      <c r="AZ70" s="262"/>
      <c r="BA70" s="969"/>
      <c r="BB70" s="969"/>
      <c r="BC70" s="969"/>
      <c r="BD70" s="976"/>
      <c r="BE70" s="195"/>
      <c r="BF70" s="969"/>
      <c r="BG70" s="969"/>
      <c r="BH70" s="969"/>
      <c r="BI70" s="969"/>
      <c r="BJ70" s="65"/>
      <c r="BK70" s="969"/>
      <c r="BL70" s="969"/>
      <c r="BM70" s="969"/>
      <c r="BN70" s="969"/>
      <c r="BO70" s="261"/>
      <c r="BP70" s="969"/>
      <c r="BQ70" s="969"/>
      <c r="BR70" s="969"/>
      <c r="BS70" s="969"/>
      <c r="BT70" s="262"/>
      <c r="BU70" s="969"/>
      <c r="BV70" s="969"/>
      <c r="BW70" s="969"/>
      <c r="BX70" s="969"/>
      <c r="BY70" s="186"/>
      <c r="BZ70" s="969"/>
      <c r="CA70" s="969"/>
      <c r="CB70" s="969"/>
      <c r="CC70" s="969"/>
      <c r="CD70" s="840"/>
      <c r="CE70" s="969"/>
      <c r="CF70" s="969"/>
      <c r="CG70" s="969"/>
      <c r="CH70" s="969"/>
      <c r="CI70" s="261"/>
      <c r="CJ70" s="969"/>
      <c r="CK70" s="969"/>
      <c r="CL70" s="969"/>
      <c r="CM70" s="995"/>
      <c r="CN70" s="998"/>
      <c r="CO70" s="261"/>
      <c r="CP70" s="969"/>
      <c r="CQ70" s="969"/>
      <c r="CR70" s="969"/>
      <c r="CS70" s="995"/>
      <c r="CT70" s="998"/>
      <c r="CU70" s="261"/>
      <c r="CV70" s="969"/>
      <c r="CW70" s="969"/>
      <c r="CX70" s="969"/>
      <c r="CY70" s="995"/>
      <c r="CZ70" s="998"/>
      <c r="DA70" s="261"/>
      <c r="DB70" s="969"/>
      <c r="DC70" s="969"/>
      <c r="DD70" s="969"/>
      <c r="DE70" s="995"/>
      <c r="DF70" s="998"/>
      <c r="DG70" s="56"/>
      <c r="DH70" s="10" t="e">
        <f>SUMIFS(#REF!,#REF!,$C70,#REF!,$E70,#REF!,$F70)</f>
        <v>#REF!</v>
      </c>
      <c r="DI70" s="29" t="e">
        <f>COUNTIFS(#REF!,$C70,#REF!,$E70,#REF!,$F70,#REF!,"&gt;=0")</f>
        <v>#REF!</v>
      </c>
      <c r="DJ70" s="10" t="e">
        <f>COUNTIFS(#REF!,$C70,#REF!,$E70,#REF!,$F70,#REF!,"лично")</f>
        <v>#REF!</v>
      </c>
    </row>
    <row r="71" spans="1:114" ht="12" customHeight="1">
      <c r="A71" s="94">
        <f t="shared" si="12"/>
        <v>39</v>
      </c>
      <c r="B71" s="257" t="s">
        <v>29</v>
      </c>
      <c r="C71" s="255" t="s">
        <v>162</v>
      </c>
      <c r="D71" s="95"/>
      <c r="E71" s="256"/>
      <c r="F71" s="285" t="str">
        <f t="shared" si="0"/>
        <v>Сокращенное название</v>
      </c>
      <c r="G71" s="259" t="s">
        <v>326</v>
      </c>
      <c r="H71" s="469" t="str">
        <f t="shared" si="10"/>
        <v>Фамилия_1 Имя Отчество</v>
      </c>
      <c r="I71" s="260">
        <f t="shared" si="3"/>
        <v>0</v>
      </c>
      <c r="J71" s="970">
        <f t="shared" si="4"/>
        <v>0</v>
      </c>
      <c r="K71" s="260">
        <f t="shared" si="5"/>
        <v>0</v>
      </c>
      <c r="L71" s="970">
        <f t="shared" si="11"/>
        <v>0</v>
      </c>
      <c r="M71" s="974">
        <f t="shared" si="6"/>
        <v>0</v>
      </c>
      <c r="N71" s="201">
        <f t="shared" si="7"/>
        <v>0</v>
      </c>
      <c r="O71" s="972">
        <f t="shared" si="8"/>
        <v>0</v>
      </c>
      <c r="P71" s="201">
        <f t="shared" si="9"/>
        <v>0</v>
      </c>
      <c r="Q71" s="264"/>
      <c r="R71" s="969"/>
      <c r="S71" s="969"/>
      <c r="T71" s="969"/>
      <c r="U71" s="969"/>
      <c r="V71" s="262"/>
      <c r="W71" s="1001"/>
      <c r="X71" s="1001"/>
      <c r="Y71" s="1001"/>
      <c r="Z71" s="976"/>
      <c r="AA71" s="261"/>
      <c r="AB71" s="969"/>
      <c r="AC71" s="969"/>
      <c r="AD71" s="969"/>
      <c r="AE71" s="969"/>
      <c r="AF71" s="262"/>
      <c r="AG71" s="969"/>
      <c r="AH71" s="969"/>
      <c r="AI71" s="969"/>
      <c r="AJ71" s="969"/>
      <c r="AK71" s="262"/>
      <c r="AL71" s="969"/>
      <c r="AM71" s="969"/>
      <c r="AN71" s="969"/>
      <c r="AO71" s="969"/>
      <c r="AP71" s="262"/>
      <c r="AQ71" s="969"/>
      <c r="AR71" s="969"/>
      <c r="AS71" s="969"/>
      <c r="AT71" s="969"/>
      <c r="AU71" s="262"/>
      <c r="AV71" s="969"/>
      <c r="AW71" s="969"/>
      <c r="AX71" s="969"/>
      <c r="AY71" s="969"/>
      <c r="AZ71" s="262"/>
      <c r="BA71" s="969"/>
      <c r="BB71" s="969"/>
      <c r="BC71" s="969"/>
      <c r="BD71" s="976"/>
      <c r="BE71" s="195"/>
      <c r="BF71" s="969"/>
      <c r="BG71" s="969"/>
      <c r="BH71" s="969"/>
      <c r="BI71" s="969"/>
      <c r="BJ71" s="65"/>
      <c r="BK71" s="969"/>
      <c r="BL71" s="969"/>
      <c r="BM71" s="969"/>
      <c r="BN71" s="969"/>
      <c r="BO71" s="261"/>
      <c r="BP71" s="969"/>
      <c r="BQ71" s="969"/>
      <c r="BR71" s="969"/>
      <c r="BS71" s="969"/>
      <c r="BT71" s="262"/>
      <c r="BU71" s="969"/>
      <c r="BV71" s="969"/>
      <c r="BW71" s="969"/>
      <c r="BX71" s="969"/>
      <c r="BY71" s="186"/>
      <c r="BZ71" s="969"/>
      <c r="CA71" s="969"/>
      <c r="CB71" s="969"/>
      <c r="CC71" s="969"/>
      <c r="CD71" s="840"/>
      <c r="CE71" s="969"/>
      <c r="CF71" s="969"/>
      <c r="CG71" s="969"/>
      <c r="CH71" s="969"/>
      <c r="CI71" s="261"/>
      <c r="CJ71" s="969"/>
      <c r="CK71" s="969"/>
      <c r="CL71" s="969"/>
      <c r="CM71" s="995"/>
      <c r="CN71" s="998"/>
      <c r="CO71" s="261"/>
      <c r="CP71" s="969"/>
      <c r="CQ71" s="969"/>
      <c r="CR71" s="969"/>
      <c r="CS71" s="995"/>
      <c r="CT71" s="998"/>
      <c r="CU71" s="261"/>
      <c r="CV71" s="969"/>
      <c r="CW71" s="969"/>
      <c r="CX71" s="969"/>
      <c r="CY71" s="995"/>
      <c r="CZ71" s="998"/>
      <c r="DA71" s="261"/>
      <c r="DB71" s="969"/>
      <c r="DC71" s="969"/>
      <c r="DD71" s="969"/>
      <c r="DE71" s="995"/>
      <c r="DF71" s="998"/>
      <c r="DG71" s="56"/>
      <c r="DH71" s="10" t="e">
        <f>SUMIFS(#REF!,#REF!,$C71,#REF!,$E71,#REF!,$F71)</f>
        <v>#REF!</v>
      </c>
      <c r="DI71" s="29" t="e">
        <f>COUNTIFS(#REF!,$C71,#REF!,$E71,#REF!,$F71,#REF!,"&gt;=0")</f>
        <v>#REF!</v>
      </c>
      <c r="DJ71" s="10" t="e">
        <f>COUNTIFS(#REF!,$C71,#REF!,$E71,#REF!,$F71,#REF!,"лично")</f>
        <v>#REF!</v>
      </c>
    </row>
    <row r="72" spans="1:114" ht="12" customHeight="1">
      <c r="A72" s="94">
        <f t="shared" si="12"/>
        <v>40</v>
      </c>
      <c r="B72" s="257" t="s">
        <v>29</v>
      </c>
      <c r="C72" s="255" t="s">
        <v>162</v>
      </c>
      <c r="D72" s="95"/>
      <c r="E72" s="256"/>
      <c r="F72" s="285" t="str">
        <f t="shared" si="0"/>
        <v>Сокращенное название</v>
      </c>
      <c r="G72" s="259" t="s">
        <v>326</v>
      </c>
      <c r="H72" s="469" t="str">
        <f t="shared" si="10"/>
        <v>Фамилия_1 Имя Отчество</v>
      </c>
      <c r="I72" s="260">
        <f t="shared" si="3"/>
        <v>0</v>
      </c>
      <c r="J72" s="970">
        <f t="shared" si="4"/>
        <v>0</v>
      </c>
      <c r="K72" s="260">
        <f t="shared" si="5"/>
        <v>0</v>
      </c>
      <c r="L72" s="970">
        <f t="shared" si="11"/>
        <v>0</v>
      </c>
      <c r="M72" s="974">
        <f t="shared" si="6"/>
        <v>0</v>
      </c>
      <c r="N72" s="201">
        <f t="shared" si="7"/>
        <v>0</v>
      </c>
      <c r="O72" s="972">
        <f t="shared" si="8"/>
        <v>0</v>
      </c>
      <c r="P72" s="201">
        <f t="shared" si="9"/>
        <v>0</v>
      </c>
      <c r="Q72" s="264"/>
      <c r="R72" s="969"/>
      <c r="S72" s="969"/>
      <c r="T72" s="969"/>
      <c r="U72" s="969"/>
      <c r="V72" s="262"/>
      <c r="W72" s="1001"/>
      <c r="X72" s="1001"/>
      <c r="Y72" s="1001"/>
      <c r="Z72" s="976"/>
      <c r="AA72" s="261"/>
      <c r="AB72" s="969"/>
      <c r="AC72" s="969"/>
      <c r="AD72" s="969"/>
      <c r="AE72" s="969"/>
      <c r="AF72" s="262"/>
      <c r="AG72" s="969"/>
      <c r="AH72" s="969"/>
      <c r="AI72" s="969"/>
      <c r="AJ72" s="969"/>
      <c r="AK72" s="262"/>
      <c r="AL72" s="969"/>
      <c r="AM72" s="969"/>
      <c r="AN72" s="969"/>
      <c r="AO72" s="969"/>
      <c r="AP72" s="262"/>
      <c r="AQ72" s="969"/>
      <c r="AR72" s="969"/>
      <c r="AS72" s="969"/>
      <c r="AT72" s="969"/>
      <c r="AU72" s="262"/>
      <c r="AV72" s="969"/>
      <c r="AW72" s="969"/>
      <c r="AX72" s="969"/>
      <c r="AY72" s="969"/>
      <c r="AZ72" s="262"/>
      <c r="BA72" s="969"/>
      <c r="BB72" s="969"/>
      <c r="BC72" s="969"/>
      <c r="BD72" s="976"/>
      <c r="BE72" s="195"/>
      <c r="BF72" s="969"/>
      <c r="BG72" s="969"/>
      <c r="BH72" s="969"/>
      <c r="BI72" s="969"/>
      <c r="BJ72" s="65"/>
      <c r="BK72" s="969"/>
      <c r="BL72" s="969"/>
      <c r="BM72" s="969"/>
      <c r="BN72" s="969"/>
      <c r="BO72" s="261"/>
      <c r="BP72" s="969"/>
      <c r="BQ72" s="969"/>
      <c r="BR72" s="969"/>
      <c r="BS72" s="969"/>
      <c r="BT72" s="262"/>
      <c r="BU72" s="969"/>
      <c r="BV72" s="969"/>
      <c r="BW72" s="969"/>
      <c r="BX72" s="969"/>
      <c r="BY72" s="186"/>
      <c r="BZ72" s="969"/>
      <c r="CA72" s="969"/>
      <c r="CB72" s="969"/>
      <c r="CC72" s="969"/>
      <c r="CD72" s="840"/>
      <c r="CE72" s="969"/>
      <c r="CF72" s="969"/>
      <c r="CG72" s="969"/>
      <c r="CH72" s="969"/>
      <c r="CI72" s="261"/>
      <c r="CJ72" s="969"/>
      <c r="CK72" s="969"/>
      <c r="CL72" s="969"/>
      <c r="CM72" s="995"/>
      <c r="CN72" s="998"/>
      <c r="CO72" s="261"/>
      <c r="CP72" s="969"/>
      <c r="CQ72" s="969"/>
      <c r="CR72" s="969"/>
      <c r="CS72" s="995"/>
      <c r="CT72" s="998"/>
      <c r="CU72" s="261"/>
      <c r="CV72" s="969"/>
      <c r="CW72" s="969"/>
      <c r="CX72" s="969"/>
      <c r="CY72" s="995"/>
      <c r="CZ72" s="998"/>
      <c r="DA72" s="261"/>
      <c r="DB72" s="969"/>
      <c r="DC72" s="969"/>
      <c r="DD72" s="969"/>
      <c r="DE72" s="995"/>
      <c r="DF72" s="998"/>
      <c r="DG72" s="56"/>
      <c r="DH72" s="10" t="e">
        <f>SUMIFS(#REF!,#REF!,$C72,#REF!,$E72,#REF!,$F72)</f>
        <v>#REF!</v>
      </c>
      <c r="DI72" s="29" t="e">
        <f>COUNTIFS(#REF!,$C72,#REF!,$E72,#REF!,$F72,#REF!,"&gt;=0")</f>
        <v>#REF!</v>
      </c>
      <c r="DJ72" s="10" t="e">
        <f>COUNTIFS(#REF!,$C72,#REF!,$E72,#REF!,$F72,#REF!,"лично")</f>
        <v>#REF!</v>
      </c>
    </row>
    <row r="73" spans="1:114" ht="12" customHeight="1">
      <c r="A73" s="94">
        <f t="shared" si="12"/>
        <v>41</v>
      </c>
      <c r="B73" s="257" t="s">
        <v>29</v>
      </c>
      <c r="C73" s="255" t="s">
        <v>162</v>
      </c>
      <c r="D73" s="95"/>
      <c r="E73" s="256"/>
      <c r="F73" s="285" t="str">
        <f t="shared" si="0"/>
        <v>Сокращенное название</v>
      </c>
      <c r="G73" s="259" t="s">
        <v>326</v>
      </c>
      <c r="H73" s="469" t="str">
        <f t="shared" si="10"/>
        <v>Фамилия_1 Имя Отчество</v>
      </c>
      <c r="I73" s="260">
        <f t="shared" si="3"/>
        <v>0</v>
      </c>
      <c r="J73" s="970">
        <f t="shared" si="4"/>
        <v>0</v>
      </c>
      <c r="K73" s="260">
        <f t="shared" si="5"/>
        <v>0</v>
      </c>
      <c r="L73" s="970">
        <f t="shared" si="11"/>
        <v>0</v>
      </c>
      <c r="M73" s="974">
        <f t="shared" si="6"/>
        <v>0</v>
      </c>
      <c r="N73" s="201">
        <f t="shared" si="7"/>
        <v>0</v>
      </c>
      <c r="O73" s="972">
        <f t="shared" si="8"/>
        <v>0</v>
      </c>
      <c r="P73" s="201">
        <f t="shared" si="9"/>
        <v>0</v>
      </c>
      <c r="Q73" s="264"/>
      <c r="R73" s="969"/>
      <c r="S73" s="969"/>
      <c r="T73" s="969"/>
      <c r="U73" s="969"/>
      <c r="V73" s="262"/>
      <c r="W73" s="1001"/>
      <c r="X73" s="1001"/>
      <c r="Y73" s="1001"/>
      <c r="Z73" s="976"/>
      <c r="AA73" s="261"/>
      <c r="AB73" s="969"/>
      <c r="AC73" s="969"/>
      <c r="AD73" s="969"/>
      <c r="AE73" s="969"/>
      <c r="AF73" s="262"/>
      <c r="AG73" s="969"/>
      <c r="AH73" s="969"/>
      <c r="AI73" s="969"/>
      <c r="AJ73" s="969"/>
      <c r="AK73" s="262"/>
      <c r="AL73" s="969"/>
      <c r="AM73" s="969"/>
      <c r="AN73" s="969"/>
      <c r="AO73" s="969"/>
      <c r="AP73" s="262"/>
      <c r="AQ73" s="969"/>
      <c r="AR73" s="969"/>
      <c r="AS73" s="969"/>
      <c r="AT73" s="969"/>
      <c r="AU73" s="262"/>
      <c r="AV73" s="969"/>
      <c r="AW73" s="969"/>
      <c r="AX73" s="969"/>
      <c r="AY73" s="969"/>
      <c r="AZ73" s="262"/>
      <c r="BA73" s="969"/>
      <c r="BB73" s="969"/>
      <c r="BC73" s="969"/>
      <c r="BD73" s="976"/>
      <c r="BE73" s="195"/>
      <c r="BF73" s="969"/>
      <c r="BG73" s="969"/>
      <c r="BH73" s="969"/>
      <c r="BI73" s="969"/>
      <c r="BJ73" s="65"/>
      <c r="BK73" s="969"/>
      <c r="BL73" s="969"/>
      <c r="BM73" s="969"/>
      <c r="BN73" s="969"/>
      <c r="BO73" s="261"/>
      <c r="BP73" s="969"/>
      <c r="BQ73" s="969"/>
      <c r="BR73" s="969"/>
      <c r="BS73" s="969"/>
      <c r="BT73" s="262"/>
      <c r="BU73" s="969"/>
      <c r="BV73" s="969"/>
      <c r="BW73" s="969"/>
      <c r="BX73" s="969"/>
      <c r="BY73" s="186"/>
      <c r="BZ73" s="969"/>
      <c r="CA73" s="969"/>
      <c r="CB73" s="969"/>
      <c r="CC73" s="969"/>
      <c r="CD73" s="840"/>
      <c r="CE73" s="969"/>
      <c r="CF73" s="969"/>
      <c r="CG73" s="969"/>
      <c r="CH73" s="969"/>
      <c r="CI73" s="261"/>
      <c r="CJ73" s="969"/>
      <c r="CK73" s="969"/>
      <c r="CL73" s="969"/>
      <c r="CM73" s="995"/>
      <c r="CN73" s="998"/>
      <c r="CO73" s="261"/>
      <c r="CP73" s="969"/>
      <c r="CQ73" s="969"/>
      <c r="CR73" s="969"/>
      <c r="CS73" s="995"/>
      <c r="CT73" s="998"/>
      <c r="CU73" s="261"/>
      <c r="CV73" s="969"/>
      <c r="CW73" s="969"/>
      <c r="CX73" s="969"/>
      <c r="CY73" s="995"/>
      <c r="CZ73" s="998"/>
      <c r="DA73" s="261"/>
      <c r="DB73" s="969"/>
      <c r="DC73" s="969"/>
      <c r="DD73" s="969"/>
      <c r="DE73" s="995"/>
      <c r="DF73" s="998"/>
      <c r="DG73" s="56"/>
      <c r="DH73" s="10" t="e">
        <f>SUMIFS(#REF!,#REF!,$C73,#REF!,$E73,#REF!,$F73)</f>
        <v>#REF!</v>
      </c>
      <c r="DI73" s="29" t="e">
        <f>COUNTIFS(#REF!,$C73,#REF!,$E73,#REF!,$F73,#REF!,"&gt;=0")</f>
        <v>#REF!</v>
      </c>
      <c r="DJ73" s="10" t="e">
        <f>COUNTIFS(#REF!,$C73,#REF!,$E73,#REF!,$F73,#REF!,"лично")</f>
        <v>#REF!</v>
      </c>
    </row>
    <row r="74" spans="1:114" ht="12" customHeight="1">
      <c r="A74" s="94">
        <f t="shared" si="12"/>
        <v>42</v>
      </c>
      <c r="B74" s="257" t="s">
        <v>29</v>
      </c>
      <c r="C74" s="255" t="s">
        <v>162</v>
      </c>
      <c r="D74" s="95"/>
      <c r="E74" s="256"/>
      <c r="F74" s="285" t="str">
        <f t="shared" si="0"/>
        <v>Сокращенное название</v>
      </c>
      <c r="G74" s="259" t="s">
        <v>326</v>
      </c>
      <c r="H74" s="469" t="str">
        <f t="shared" si="10"/>
        <v>Фамилия_1 Имя Отчество</v>
      </c>
      <c r="I74" s="260">
        <f t="shared" si="3"/>
        <v>0</v>
      </c>
      <c r="J74" s="970">
        <f t="shared" si="4"/>
        <v>0</v>
      </c>
      <c r="K74" s="260">
        <f t="shared" si="5"/>
        <v>0</v>
      </c>
      <c r="L74" s="970">
        <f t="shared" si="11"/>
        <v>0</v>
      </c>
      <c r="M74" s="974">
        <f t="shared" si="6"/>
        <v>0</v>
      </c>
      <c r="N74" s="201">
        <f t="shared" si="7"/>
        <v>0</v>
      </c>
      <c r="O74" s="972">
        <f t="shared" si="8"/>
        <v>0</v>
      </c>
      <c r="P74" s="201">
        <f t="shared" si="9"/>
        <v>0</v>
      </c>
      <c r="Q74" s="264"/>
      <c r="R74" s="969"/>
      <c r="S74" s="969"/>
      <c r="T74" s="969"/>
      <c r="U74" s="969"/>
      <c r="V74" s="262"/>
      <c r="W74" s="1001"/>
      <c r="X74" s="1001"/>
      <c r="Y74" s="1001"/>
      <c r="Z74" s="976"/>
      <c r="AA74" s="261"/>
      <c r="AB74" s="969"/>
      <c r="AC74" s="969"/>
      <c r="AD74" s="969"/>
      <c r="AE74" s="969"/>
      <c r="AF74" s="262"/>
      <c r="AG74" s="969"/>
      <c r="AH74" s="969"/>
      <c r="AI74" s="969"/>
      <c r="AJ74" s="969"/>
      <c r="AK74" s="262"/>
      <c r="AL74" s="969"/>
      <c r="AM74" s="969"/>
      <c r="AN74" s="969"/>
      <c r="AO74" s="969"/>
      <c r="AP74" s="262"/>
      <c r="AQ74" s="969"/>
      <c r="AR74" s="969"/>
      <c r="AS74" s="969"/>
      <c r="AT74" s="969"/>
      <c r="AU74" s="262"/>
      <c r="AV74" s="969"/>
      <c r="AW74" s="969"/>
      <c r="AX74" s="969"/>
      <c r="AY74" s="969"/>
      <c r="AZ74" s="262"/>
      <c r="BA74" s="969"/>
      <c r="BB74" s="969"/>
      <c r="BC74" s="969"/>
      <c r="BD74" s="976"/>
      <c r="BE74" s="195"/>
      <c r="BF74" s="969"/>
      <c r="BG74" s="969"/>
      <c r="BH74" s="969"/>
      <c r="BI74" s="969"/>
      <c r="BJ74" s="65"/>
      <c r="BK74" s="969"/>
      <c r="BL74" s="969"/>
      <c r="BM74" s="969"/>
      <c r="BN74" s="969"/>
      <c r="BO74" s="261"/>
      <c r="BP74" s="969"/>
      <c r="BQ74" s="969"/>
      <c r="BR74" s="969"/>
      <c r="BS74" s="969"/>
      <c r="BT74" s="262"/>
      <c r="BU74" s="969"/>
      <c r="BV74" s="969"/>
      <c r="BW74" s="969"/>
      <c r="BX74" s="969"/>
      <c r="BY74" s="186"/>
      <c r="BZ74" s="969"/>
      <c r="CA74" s="969"/>
      <c r="CB74" s="969"/>
      <c r="CC74" s="969"/>
      <c r="CD74" s="840"/>
      <c r="CE74" s="969"/>
      <c r="CF74" s="969"/>
      <c r="CG74" s="969"/>
      <c r="CH74" s="969"/>
      <c r="CI74" s="261"/>
      <c r="CJ74" s="969"/>
      <c r="CK74" s="969"/>
      <c r="CL74" s="969"/>
      <c r="CM74" s="995"/>
      <c r="CN74" s="998"/>
      <c r="CO74" s="261"/>
      <c r="CP74" s="969"/>
      <c r="CQ74" s="969"/>
      <c r="CR74" s="969"/>
      <c r="CS74" s="995"/>
      <c r="CT74" s="998"/>
      <c r="CU74" s="261"/>
      <c r="CV74" s="969"/>
      <c r="CW74" s="969"/>
      <c r="CX74" s="969"/>
      <c r="CY74" s="995"/>
      <c r="CZ74" s="998"/>
      <c r="DA74" s="261"/>
      <c r="DB74" s="969"/>
      <c r="DC74" s="969"/>
      <c r="DD74" s="969"/>
      <c r="DE74" s="995"/>
      <c r="DF74" s="998"/>
      <c r="DG74" s="56"/>
      <c r="DH74" s="10" t="e">
        <f>SUMIFS(#REF!,#REF!,$C74,#REF!,$E74,#REF!,$F74)</f>
        <v>#REF!</v>
      </c>
      <c r="DI74" s="29" t="e">
        <f>COUNTIFS(#REF!,$C74,#REF!,$E74,#REF!,$F74,#REF!,"&gt;=0")</f>
        <v>#REF!</v>
      </c>
      <c r="DJ74" s="10" t="e">
        <f>COUNTIFS(#REF!,$C74,#REF!,$E74,#REF!,$F74,#REF!,"лично")</f>
        <v>#REF!</v>
      </c>
    </row>
    <row r="75" spans="1:114" ht="12" customHeight="1">
      <c r="A75" s="94">
        <f t="shared" si="12"/>
        <v>43</v>
      </c>
      <c r="B75" s="257" t="s">
        <v>29</v>
      </c>
      <c r="C75" s="255" t="s">
        <v>162</v>
      </c>
      <c r="D75" s="95"/>
      <c r="E75" s="256"/>
      <c r="F75" s="285" t="str">
        <f t="shared" si="0"/>
        <v>Сокращенное название</v>
      </c>
      <c r="G75" s="259" t="s">
        <v>326</v>
      </c>
      <c r="H75" s="469" t="str">
        <f t="shared" si="10"/>
        <v>Фамилия_1 Имя Отчество</v>
      </c>
      <c r="I75" s="260">
        <f t="shared" si="3"/>
        <v>0</v>
      </c>
      <c r="J75" s="970">
        <f t="shared" si="4"/>
        <v>0</v>
      </c>
      <c r="K75" s="260">
        <f t="shared" si="5"/>
        <v>0</v>
      </c>
      <c r="L75" s="970">
        <f t="shared" si="11"/>
        <v>0</v>
      </c>
      <c r="M75" s="974">
        <f t="shared" si="6"/>
        <v>0</v>
      </c>
      <c r="N75" s="201">
        <f t="shared" si="7"/>
        <v>0</v>
      </c>
      <c r="O75" s="972">
        <f t="shared" si="8"/>
        <v>0</v>
      </c>
      <c r="P75" s="201">
        <f t="shared" si="9"/>
        <v>0</v>
      </c>
      <c r="Q75" s="264"/>
      <c r="R75" s="969"/>
      <c r="S75" s="969"/>
      <c r="T75" s="969"/>
      <c r="U75" s="969"/>
      <c r="V75" s="262"/>
      <c r="W75" s="1001"/>
      <c r="X75" s="1001"/>
      <c r="Y75" s="1001"/>
      <c r="Z75" s="976"/>
      <c r="AA75" s="261"/>
      <c r="AB75" s="969"/>
      <c r="AC75" s="969"/>
      <c r="AD75" s="969"/>
      <c r="AE75" s="969"/>
      <c r="AF75" s="262"/>
      <c r="AG75" s="969"/>
      <c r="AH75" s="969"/>
      <c r="AI75" s="969"/>
      <c r="AJ75" s="969"/>
      <c r="AK75" s="262"/>
      <c r="AL75" s="969"/>
      <c r="AM75" s="969"/>
      <c r="AN75" s="969"/>
      <c r="AO75" s="969"/>
      <c r="AP75" s="262"/>
      <c r="AQ75" s="969"/>
      <c r="AR75" s="969"/>
      <c r="AS75" s="969"/>
      <c r="AT75" s="969"/>
      <c r="AU75" s="262"/>
      <c r="AV75" s="969"/>
      <c r="AW75" s="969"/>
      <c r="AX75" s="969"/>
      <c r="AY75" s="969"/>
      <c r="AZ75" s="262"/>
      <c r="BA75" s="969"/>
      <c r="BB75" s="969"/>
      <c r="BC75" s="969"/>
      <c r="BD75" s="976"/>
      <c r="BE75" s="195"/>
      <c r="BF75" s="969"/>
      <c r="BG75" s="969"/>
      <c r="BH75" s="969"/>
      <c r="BI75" s="969"/>
      <c r="BJ75" s="65"/>
      <c r="BK75" s="969"/>
      <c r="BL75" s="969"/>
      <c r="BM75" s="969"/>
      <c r="BN75" s="969"/>
      <c r="BO75" s="261"/>
      <c r="BP75" s="969"/>
      <c r="BQ75" s="969"/>
      <c r="BR75" s="969"/>
      <c r="BS75" s="969"/>
      <c r="BT75" s="262"/>
      <c r="BU75" s="969"/>
      <c r="BV75" s="969"/>
      <c r="BW75" s="969"/>
      <c r="BX75" s="969"/>
      <c r="BY75" s="186"/>
      <c r="BZ75" s="969"/>
      <c r="CA75" s="969"/>
      <c r="CB75" s="969"/>
      <c r="CC75" s="969"/>
      <c r="CD75" s="840"/>
      <c r="CE75" s="969"/>
      <c r="CF75" s="969"/>
      <c r="CG75" s="969"/>
      <c r="CH75" s="969"/>
      <c r="CI75" s="261"/>
      <c r="CJ75" s="969"/>
      <c r="CK75" s="969"/>
      <c r="CL75" s="969"/>
      <c r="CM75" s="995"/>
      <c r="CN75" s="998"/>
      <c r="CO75" s="261"/>
      <c r="CP75" s="969"/>
      <c r="CQ75" s="969"/>
      <c r="CR75" s="969"/>
      <c r="CS75" s="995"/>
      <c r="CT75" s="998"/>
      <c r="CU75" s="261"/>
      <c r="CV75" s="969"/>
      <c r="CW75" s="969"/>
      <c r="CX75" s="969"/>
      <c r="CY75" s="995"/>
      <c r="CZ75" s="998"/>
      <c r="DA75" s="261"/>
      <c r="DB75" s="969"/>
      <c r="DC75" s="969"/>
      <c r="DD75" s="969"/>
      <c r="DE75" s="995"/>
      <c r="DF75" s="998"/>
      <c r="DG75" s="56"/>
      <c r="DH75" s="10" t="e">
        <f>SUMIFS(#REF!,#REF!,$C75,#REF!,$E75,#REF!,$F75)</f>
        <v>#REF!</v>
      </c>
      <c r="DI75" s="29" t="e">
        <f>COUNTIFS(#REF!,$C75,#REF!,$E75,#REF!,$F75,#REF!,"&gt;=0")</f>
        <v>#REF!</v>
      </c>
      <c r="DJ75" s="10" t="e">
        <f>COUNTIFS(#REF!,$C75,#REF!,$E75,#REF!,$F75,#REF!,"лично")</f>
        <v>#REF!</v>
      </c>
    </row>
    <row r="76" spans="1:114" ht="12" customHeight="1">
      <c r="A76" s="94">
        <f t="shared" si="12"/>
        <v>44</v>
      </c>
      <c r="B76" s="257" t="s">
        <v>29</v>
      </c>
      <c r="C76" s="255" t="s">
        <v>162</v>
      </c>
      <c r="D76" s="95"/>
      <c r="E76" s="256"/>
      <c r="F76" s="285" t="str">
        <f t="shared" si="0"/>
        <v>Сокращенное название</v>
      </c>
      <c r="G76" s="259" t="s">
        <v>326</v>
      </c>
      <c r="H76" s="469" t="str">
        <f t="shared" si="10"/>
        <v>Фамилия_1 Имя Отчество</v>
      </c>
      <c r="I76" s="260">
        <f t="shared" si="3"/>
        <v>0</v>
      </c>
      <c r="J76" s="970">
        <f t="shared" si="4"/>
        <v>0</v>
      </c>
      <c r="K76" s="260">
        <f t="shared" si="5"/>
        <v>0</v>
      </c>
      <c r="L76" s="970">
        <f t="shared" si="11"/>
        <v>0</v>
      </c>
      <c r="M76" s="974">
        <f t="shared" si="6"/>
        <v>0</v>
      </c>
      <c r="N76" s="201">
        <f t="shared" si="7"/>
        <v>0</v>
      </c>
      <c r="O76" s="972">
        <f t="shared" si="8"/>
        <v>0</v>
      </c>
      <c r="P76" s="201">
        <f t="shared" si="9"/>
        <v>0</v>
      </c>
      <c r="Q76" s="264"/>
      <c r="R76" s="969"/>
      <c r="S76" s="969"/>
      <c r="T76" s="969"/>
      <c r="U76" s="969"/>
      <c r="V76" s="262"/>
      <c r="W76" s="1001"/>
      <c r="X76" s="1001"/>
      <c r="Y76" s="1001"/>
      <c r="Z76" s="976"/>
      <c r="AA76" s="261"/>
      <c r="AB76" s="969"/>
      <c r="AC76" s="969"/>
      <c r="AD76" s="969"/>
      <c r="AE76" s="969"/>
      <c r="AF76" s="262"/>
      <c r="AG76" s="969"/>
      <c r="AH76" s="969"/>
      <c r="AI76" s="969"/>
      <c r="AJ76" s="969"/>
      <c r="AK76" s="262"/>
      <c r="AL76" s="969"/>
      <c r="AM76" s="969"/>
      <c r="AN76" s="969"/>
      <c r="AO76" s="969"/>
      <c r="AP76" s="262"/>
      <c r="AQ76" s="969"/>
      <c r="AR76" s="969"/>
      <c r="AS76" s="969"/>
      <c r="AT76" s="969"/>
      <c r="AU76" s="262"/>
      <c r="AV76" s="969"/>
      <c r="AW76" s="969"/>
      <c r="AX76" s="969"/>
      <c r="AY76" s="969"/>
      <c r="AZ76" s="262"/>
      <c r="BA76" s="969"/>
      <c r="BB76" s="969"/>
      <c r="BC76" s="969"/>
      <c r="BD76" s="976"/>
      <c r="BE76" s="195"/>
      <c r="BF76" s="969"/>
      <c r="BG76" s="969"/>
      <c r="BH76" s="969"/>
      <c r="BI76" s="969"/>
      <c r="BJ76" s="65"/>
      <c r="BK76" s="969"/>
      <c r="BL76" s="969"/>
      <c r="BM76" s="969"/>
      <c r="BN76" s="969"/>
      <c r="BO76" s="261"/>
      <c r="BP76" s="969"/>
      <c r="BQ76" s="969"/>
      <c r="BR76" s="969"/>
      <c r="BS76" s="969"/>
      <c r="BT76" s="262"/>
      <c r="BU76" s="969"/>
      <c r="BV76" s="969"/>
      <c r="BW76" s="969"/>
      <c r="BX76" s="969"/>
      <c r="BY76" s="186"/>
      <c r="BZ76" s="969"/>
      <c r="CA76" s="969"/>
      <c r="CB76" s="969"/>
      <c r="CC76" s="969"/>
      <c r="CD76" s="840"/>
      <c r="CE76" s="969"/>
      <c r="CF76" s="969"/>
      <c r="CG76" s="969"/>
      <c r="CH76" s="969"/>
      <c r="CI76" s="261"/>
      <c r="CJ76" s="969"/>
      <c r="CK76" s="969"/>
      <c r="CL76" s="969"/>
      <c r="CM76" s="995"/>
      <c r="CN76" s="998"/>
      <c r="CO76" s="261"/>
      <c r="CP76" s="969"/>
      <c r="CQ76" s="969"/>
      <c r="CR76" s="969"/>
      <c r="CS76" s="995"/>
      <c r="CT76" s="998"/>
      <c r="CU76" s="261"/>
      <c r="CV76" s="969"/>
      <c r="CW76" s="969"/>
      <c r="CX76" s="969"/>
      <c r="CY76" s="995"/>
      <c r="CZ76" s="998"/>
      <c r="DA76" s="261"/>
      <c r="DB76" s="969"/>
      <c r="DC76" s="969"/>
      <c r="DD76" s="969"/>
      <c r="DE76" s="995"/>
      <c r="DF76" s="998"/>
      <c r="DG76" s="56"/>
      <c r="DH76" s="10" t="e">
        <f>SUMIFS(#REF!,#REF!,$C76,#REF!,$E76,#REF!,$F76)</f>
        <v>#REF!</v>
      </c>
      <c r="DI76" s="29" t="e">
        <f>COUNTIFS(#REF!,$C76,#REF!,$E76,#REF!,$F76,#REF!,"&gt;=0")</f>
        <v>#REF!</v>
      </c>
      <c r="DJ76" s="10" t="e">
        <f>COUNTIFS(#REF!,$C76,#REF!,$E76,#REF!,$F76,#REF!,"лично")</f>
        <v>#REF!</v>
      </c>
    </row>
    <row r="77" spans="1:114" ht="12" customHeight="1">
      <c r="A77" s="94">
        <f t="shared" si="12"/>
        <v>45</v>
      </c>
      <c r="B77" s="66" t="s">
        <v>10</v>
      </c>
      <c r="C77" s="255" t="s">
        <v>162</v>
      </c>
      <c r="D77" s="95"/>
      <c r="E77" s="256"/>
      <c r="F77" s="285" t="str">
        <f t="shared" si="0"/>
        <v>Сокращенное название</v>
      </c>
      <c r="G77" s="259" t="s">
        <v>326</v>
      </c>
      <c r="H77" s="469" t="str">
        <f t="shared" si="10"/>
        <v>Фамилия_1 Имя Отчество</v>
      </c>
      <c r="I77" s="260">
        <f t="shared" si="3"/>
        <v>0</v>
      </c>
      <c r="J77" s="970">
        <f t="shared" si="4"/>
        <v>0</v>
      </c>
      <c r="K77" s="260">
        <f t="shared" si="5"/>
        <v>0</v>
      </c>
      <c r="L77" s="970">
        <f t="shared" si="11"/>
        <v>0</v>
      </c>
      <c r="M77" s="974">
        <f t="shared" si="6"/>
        <v>0</v>
      </c>
      <c r="N77" s="201">
        <f t="shared" si="7"/>
        <v>0</v>
      </c>
      <c r="O77" s="972">
        <f t="shared" si="8"/>
        <v>0</v>
      </c>
      <c r="P77" s="201">
        <f t="shared" si="9"/>
        <v>0</v>
      </c>
      <c r="Q77" s="264"/>
      <c r="R77" s="969"/>
      <c r="S77" s="969"/>
      <c r="T77" s="969"/>
      <c r="U77" s="969"/>
      <c r="V77" s="262"/>
      <c r="W77" s="1001"/>
      <c r="X77" s="1001"/>
      <c r="Y77" s="1001"/>
      <c r="Z77" s="976"/>
      <c r="AA77" s="261"/>
      <c r="AB77" s="969"/>
      <c r="AC77" s="969"/>
      <c r="AD77" s="969"/>
      <c r="AE77" s="969"/>
      <c r="AF77" s="262"/>
      <c r="AG77" s="969"/>
      <c r="AH77" s="969"/>
      <c r="AI77" s="969"/>
      <c r="AJ77" s="969"/>
      <c r="AK77" s="262"/>
      <c r="AL77" s="969"/>
      <c r="AM77" s="969"/>
      <c r="AN77" s="969"/>
      <c r="AO77" s="969"/>
      <c r="AP77" s="262"/>
      <c r="AQ77" s="969"/>
      <c r="AR77" s="969"/>
      <c r="AS77" s="969"/>
      <c r="AT77" s="969"/>
      <c r="AU77" s="262"/>
      <c r="AV77" s="969"/>
      <c r="AW77" s="969"/>
      <c r="AX77" s="969"/>
      <c r="AY77" s="969"/>
      <c r="AZ77" s="262"/>
      <c r="BA77" s="969"/>
      <c r="BB77" s="969"/>
      <c r="BC77" s="969"/>
      <c r="BD77" s="976"/>
      <c r="BE77" s="195"/>
      <c r="BF77" s="969"/>
      <c r="BG77" s="969"/>
      <c r="BH77" s="969"/>
      <c r="BI77" s="969"/>
      <c r="BJ77" s="65"/>
      <c r="BK77" s="969"/>
      <c r="BL77" s="969"/>
      <c r="BM77" s="969"/>
      <c r="BN77" s="969"/>
      <c r="BO77" s="261"/>
      <c r="BP77" s="969"/>
      <c r="BQ77" s="969"/>
      <c r="BR77" s="969"/>
      <c r="BS77" s="969"/>
      <c r="BT77" s="262"/>
      <c r="BU77" s="969"/>
      <c r="BV77" s="969"/>
      <c r="BW77" s="969"/>
      <c r="BX77" s="969"/>
      <c r="BY77" s="186"/>
      <c r="BZ77" s="969"/>
      <c r="CA77" s="969"/>
      <c r="CB77" s="969"/>
      <c r="CC77" s="969"/>
      <c r="CD77" s="840"/>
      <c r="CE77" s="969"/>
      <c r="CF77" s="969"/>
      <c r="CG77" s="969"/>
      <c r="CH77" s="969"/>
      <c r="CI77" s="261"/>
      <c r="CJ77" s="969"/>
      <c r="CK77" s="969"/>
      <c r="CL77" s="969"/>
      <c r="CM77" s="995"/>
      <c r="CN77" s="998"/>
      <c r="CO77" s="261"/>
      <c r="CP77" s="969"/>
      <c r="CQ77" s="969"/>
      <c r="CR77" s="969"/>
      <c r="CS77" s="995"/>
      <c r="CT77" s="998"/>
      <c r="CU77" s="261"/>
      <c r="CV77" s="969"/>
      <c r="CW77" s="969"/>
      <c r="CX77" s="969"/>
      <c r="CY77" s="995"/>
      <c r="CZ77" s="998"/>
      <c r="DA77" s="261"/>
      <c r="DB77" s="969"/>
      <c r="DC77" s="969"/>
      <c r="DD77" s="969"/>
      <c r="DE77" s="995"/>
      <c r="DF77" s="998"/>
      <c r="DG77" s="56"/>
      <c r="DH77" s="10" t="e">
        <f>SUMIFS(#REF!,#REF!,$C77,#REF!,$E77,#REF!,$F77)</f>
        <v>#REF!</v>
      </c>
      <c r="DI77" s="29" t="e">
        <f>COUNTIFS(#REF!,$C77,#REF!,$E77,#REF!,$F77,#REF!,"&gt;=0")</f>
        <v>#REF!</v>
      </c>
      <c r="DJ77" s="10" t="e">
        <f>COUNTIFS(#REF!,$C77,#REF!,$E77,#REF!,$F77,#REF!,"лично")</f>
        <v>#REF!</v>
      </c>
    </row>
    <row r="78" spans="1:114" ht="12" customHeight="1">
      <c r="A78" s="94">
        <f t="shared" si="12"/>
        <v>46</v>
      </c>
      <c r="B78" s="66" t="s">
        <v>11</v>
      </c>
      <c r="C78" s="255" t="s">
        <v>162</v>
      </c>
      <c r="D78" s="95"/>
      <c r="E78" s="256"/>
      <c r="F78" s="285" t="str">
        <f t="shared" si="0"/>
        <v>Сокращенное название</v>
      </c>
      <c r="G78" s="259" t="s">
        <v>326</v>
      </c>
      <c r="H78" s="469" t="str">
        <f t="shared" si="10"/>
        <v>Фамилия_1 Имя Отчество</v>
      </c>
      <c r="I78" s="260">
        <f t="shared" si="3"/>
        <v>0</v>
      </c>
      <c r="J78" s="970">
        <f t="shared" si="4"/>
        <v>0</v>
      </c>
      <c r="K78" s="260">
        <f t="shared" si="5"/>
        <v>0</v>
      </c>
      <c r="L78" s="970">
        <f t="shared" si="11"/>
        <v>0</v>
      </c>
      <c r="M78" s="974">
        <f t="shared" si="6"/>
        <v>0</v>
      </c>
      <c r="N78" s="201">
        <f t="shared" si="7"/>
        <v>0</v>
      </c>
      <c r="O78" s="972">
        <f t="shared" si="8"/>
        <v>0</v>
      </c>
      <c r="P78" s="201">
        <f t="shared" si="9"/>
        <v>0</v>
      </c>
      <c r="Q78" s="264"/>
      <c r="R78" s="969"/>
      <c r="S78" s="969"/>
      <c r="T78" s="969"/>
      <c r="U78" s="969"/>
      <c r="V78" s="262"/>
      <c r="W78" s="1001"/>
      <c r="X78" s="1001"/>
      <c r="Y78" s="1001"/>
      <c r="Z78" s="976"/>
      <c r="AA78" s="261"/>
      <c r="AB78" s="969"/>
      <c r="AC78" s="969"/>
      <c r="AD78" s="969"/>
      <c r="AE78" s="969"/>
      <c r="AF78" s="262"/>
      <c r="AG78" s="969"/>
      <c r="AH78" s="969"/>
      <c r="AI78" s="969"/>
      <c r="AJ78" s="969"/>
      <c r="AK78" s="262"/>
      <c r="AL78" s="969"/>
      <c r="AM78" s="969"/>
      <c r="AN78" s="969"/>
      <c r="AO78" s="969"/>
      <c r="AP78" s="262"/>
      <c r="AQ78" s="969"/>
      <c r="AR78" s="969"/>
      <c r="AS78" s="969"/>
      <c r="AT78" s="969"/>
      <c r="AU78" s="262"/>
      <c r="AV78" s="969"/>
      <c r="AW78" s="969"/>
      <c r="AX78" s="969"/>
      <c r="AY78" s="969"/>
      <c r="AZ78" s="262"/>
      <c r="BA78" s="969"/>
      <c r="BB78" s="969"/>
      <c r="BC78" s="969"/>
      <c r="BD78" s="976"/>
      <c r="BE78" s="195"/>
      <c r="BF78" s="969"/>
      <c r="BG78" s="969"/>
      <c r="BH78" s="969"/>
      <c r="BI78" s="969"/>
      <c r="BJ78" s="65"/>
      <c r="BK78" s="969"/>
      <c r="BL78" s="969"/>
      <c r="BM78" s="969"/>
      <c r="BN78" s="969"/>
      <c r="BO78" s="261"/>
      <c r="BP78" s="969"/>
      <c r="BQ78" s="969"/>
      <c r="BR78" s="969"/>
      <c r="BS78" s="969"/>
      <c r="BT78" s="262"/>
      <c r="BU78" s="969"/>
      <c r="BV78" s="969"/>
      <c r="BW78" s="969"/>
      <c r="BX78" s="969"/>
      <c r="BY78" s="186"/>
      <c r="BZ78" s="969"/>
      <c r="CA78" s="969"/>
      <c r="CB78" s="969"/>
      <c r="CC78" s="969"/>
      <c r="CD78" s="840"/>
      <c r="CE78" s="969"/>
      <c r="CF78" s="969"/>
      <c r="CG78" s="969"/>
      <c r="CH78" s="969"/>
      <c r="CI78" s="261"/>
      <c r="CJ78" s="969"/>
      <c r="CK78" s="969"/>
      <c r="CL78" s="969"/>
      <c r="CM78" s="995"/>
      <c r="CN78" s="998"/>
      <c r="CO78" s="261"/>
      <c r="CP78" s="969"/>
      <c r="CQ78" s="969"/>
      <c r="CR78" s="969"/>
      <c r="CS78" s="995"/>
      <c r="CT78" s="998"/>
      <c r="CU78" s="261"/>
      <c r="CV78" s="969"/>
      <c r="CW78" s="969"/>
      <c r="CX78" s="969"/>
      <c r="CY78" s="995"/>
      <c r="CZ78" s="998"/>
      <c r="DA78" s="261"/>
      <c r="DB78" s="969"/>
      <c r="DC78" s="969"/>
      <c r="DD78" s="969"/>
      <c r="DE78" s="995"/>
      <c r="DF78" s="998"/>
      <c r="DG78" s="56"/>
      <c r="DH78" s="10" t="e">
        <f>SUMIFS(#REF!,#REF!,$C78,#REF!,$E78,#REF!,$F78)</f>
        <v>#REF!</v>
      </c>
      <c r="DI78" s="29" t="e">
        <f>COUNTIFS(#REF!,$C78,#REF!,$E78,#REF!,$F78,#REF!,"&gt;=0")</f>
        <v>#REF!</v>
      </c>
      <c r="DJ78" s="10" t="e">
        <f>COUNTIFS(#REF!,$C78,#REF!,$E78,#REF!,$F78,#REF!,"лично")</f>
        <v>#REF!</v>
      </c>
    </row>
    <row r="79" spans="1:114" ht="12" customHeight="1">
      <c r="A79" s="94">
        <f t="shared" si="12"/>
        <v>47</v>
      </c>
      <c r="B79" s="66" t="s">
        <v>35</v>
      </c>
      <c r="C79" s="255" t="s">
        <v>162</v>
      </c>
      <c r="D79" s="95"/>
      <c r="E79" s="256"/>
      <c r="F79" s="285" t="str">
        <f t="shared" si="0"/>
        <v>Сокращенное название</v>
      </c>
      <c r="G79" s="259" t="s">
        <v>326</v>
      </c>
      <c r="H79" s="469" t="str">
        <f t="shared" si="10"/>
        <v>Фамилия_1 Имя Отчество</v>
      </c>
      <c r="I79" s="260">
        <f t="shared" si="3"/>
        <v>0</v>
      </c>
      <c r="J79" s="970">
        <f t="shared" si="4"/>
        <v>0</v>
      </c>
      <c r="K79" s="260">
        <f t="shared" si="5"/>
        <v>0</v>
      </c>
      <c r="L79" s="970">
        <f t="shared" si="11"/>
        <v>0</v>
      </c>
      <c r="M79" s="974">
        <f t="shared" si="6"/>
        <v>0</v>
      </c>
      <c r="N79" s="201">
        <f t="shared" si="7"/>
        <v>0</v>
      </c>
      <c r="O79" s="972">
        <f t="shared" si="8"/>
        <v>0</v>
      </c>
      <c r="P79" s="201">
        <f t="shared" si="9"/>
        <v>0</v>
      </c>
      <c r="Q79" s="264"/>
      <c r="R79" s="969"/>
      <c r="S79" s="969"/>
      <c r="T79" s="969"/>
      <c r="U79" s="969"/>
      <c r="V79" s="262"/>
      <c r="W79" s="1001"/>
      <c r="X79" s="1001"/>
      <c r="Y79" s="1001"/>
      <c r="Z79" s="976"/>
      <c r="AA79" s="261"/>
      <c r="AB79" s="969"/>
      <c r="AC79" s="969"/>
      <c r="AD79" s="969"/>
      <c r="AE79" s="969"/>
      <c r="AF79" s="262"/>
      <c r="AG79" s="969"/>
      <c r="AH79" s="969"/>
      <c r="AI79" s="969"/>
      <c r="AJ79" s="969"/>
      <c r="AK79" s="262"/>
      <c r="AL79" s="969"/>
      <c r="AM79" s="969"/>
      <c r="AN79" s="969"/>
      <c r="AO79" s="969"/>
      <c r="AP79" s="262"/>
      <c r="AQ79" s="969"/>
      <c r="AR79" s="969"/>
      <c r="AS79" s="969"/>
      <c r="AT79" s="969"/>
      <c r="AU79" s="262"/>
      <c r="AV79" s="969"/>
      <c r="AW79" s="969"/>
      <c r="AX79" s="969"/>
      <c r="AY79" s="969"/>
      <c r="AZ79" s="262"/>
      <c r="BA79" s="969"/>
      <c r="BB79" s="969"/>
      <c r="BC79" s="969"/>
      <c r="BD79" s="976"/>
      <c r="BE79" s="195"/>
      <c r="BF79" s="969"/>
      <c r="BG79" s="969"/>
      <c r="BH79" s="969"/>
      <c r="BI79" s="969"/>
      <c r="BJ79" s="65"/>
      <c r="BK79" s="969"/>
      <c r="BL79" s="969"/>
      <c r="BM79" s="969"/>
      <c r="BN79" s="969"/>
      <c r="BO79" s="261"/>
      <c r="BP79" s="969"/>
      <c r="BQ79" s="969"/>
      <c r="BR79" s="969"/>
      <c r="BS79" s="969"/>
      <c r="BT79" s="262"/>
      <c r="BU79" s="969"/>
      <c r="BV79" s="969"/>
      <c r="BW79" s="969"/>
      <c r="BX79" s="969"/>
      <c r="BY79" s="186"/>
      <c r="BZ79" s="969"/>
      <c r="CA79" s="969"/>
      <c r="CB79" s="969"/>
      <c r="CC79" s="969"/>
      <c r="CD79" s="840"/>
      <c r="CE79" s="969"/>
      <c r="CF79" s="969"/>
      <c r="CG79" s="969"/>
      <c r="CH79" s="969"/>
      <c r="CI79" s="261"/>
      <c r="CJ79" s="969"/>
      <c r="CK79" s="969"/>
      <c r="CL79" s="969"/>
      <c r="CM79" s="995"/>
      <c r="CN79" s="998"/>
      <c r="CO79" s="261"/>
      <c r="CP79" s="969"/>
      <c r="CQ79" s="969"/>
      <c r="CR79" s="969"/>
      <c r="CS79" s="995"/>
      <c r="CT79" s="998"/>
      <c r="CU79" s="261"/>
      <c r="CV79" s="969"/>
      <c r="CW79" s="969"/>
      <c r="CX79" s="969"/>
      <c r="CY79" s="995"/>
      <c r="CZ79" s="998"/>
      <c r="DA79" s="261"/>
      <c r="DB79" s="969"/>
      <c r="DC79" s="969"/>
      <c r="DD79" s="969"/>
      <c r="DE79" s="995"/>
      <c r="DF79" s="998"/>
      <c r="DG79" s="56"/>
      <c r="DH79" s="10" t="e">
        <f>SUMIFS(#REF!,#REF!,$C79,#REF!,$E79,#REF!,$F79)</f>
        <v>#REF!</v>
      </c>
      <c r="DI79" s="29" t="e">
        <f>COUNTIFS(#REF!,$C79,#REF!,$E79,#REF!,$F79,#REF!,"&gt;=0")</f>
        <v>#REF!</v>
      </c>
      <c r="DJ79" s="10" t="e">
        <f>COUNTIFS(#REF!,$C79,#REF!,$E79,#REF!,$F79,#REF!,"лично")</f>
        <v>#REF!</v>
      </c>
    </row>
    <row r="80" spans="1:114" ht="12" customHeight="1">
      <c r="A80" s="94">
        <f t="shared" si="12"/>
        <v>48</v>
      </c>
      <c r="B80" s="257" t="s">
        <v>14</v>
      </c>
      <c r="C80" s="255" t="s">
        <v>162</v>
      </c>
      <c r="D80" s="95"/>
      <c r="E80" s="256"/>
      <c r="F80" s="285" t="str">
        <f t="shared" si="0"/>
        <v>Сокращенное название</v>
      </c>
      <c r="G80" s="259" t="s">
        <v>326</v>
      </c>
      <c r="H80" s="469" t="str">
        <f t="shared" si="10"/>
        <v>Фамилия_1 Имя Отчество</v>
      </c>
      <c r="I80" s="260">
        <f t="shared" si="3"/>
        <v>0</v>
      </c>
      <c r="J80" s="970">
        <f t="shared" si="4"/>
        <v>0</v>
      </c>
      <c r="K80" s="260">
        <f t="shared" si="5"/>
        <v>0</v>
      </c>
      <c r="L80" s="970">
        <f t="shared" si="11"/>
        <v>0</v>
      </c>
      <c r="M80" s="974">
        <f t="shared" si="6"/>
        <v>0</v>
      </c>
      <c r="N80" s="201">
        <f t="shared" si="7"/>
        <v>0</v>
      </c>
      <c r="O80" s="972">
        <f t="shared" si="8"/>
        <v>0</v>
      </c>
      <c r="P80" s="201">
        <f t="shared" si="9"/>
        <v>0</v>
      </c>
      <c r="Q80" s="264"/>
      <c r="R80" s="969"/>
      <c r="S80" s="969"/>
      <c r="T80" s="969"/>
      <c r="U80" s="969"/>
      <c r="V80" s="262"/>
      <c r="W80" s="1001"/>
      <c r="X80" s="1001"/>
      <c r="Y80" s="1001"/>
      <c r="Z80" s="976"/>
      <c r="AA80" s="261"/>
      <c r="AB80" s="969"/>
      <c r="AC80" s="969"/>
      <c r="AD80" s="969"/>
      <c r="AE80" s="969"/>
      <c r="AF80" s="262"/>
      <c r="AG80" s="969"/>
      <c r="AH80" s="969"/>
      <c r="AI80" s="969"/>
      <c r="AJ80" s="969"/>
      <c r="AK80" s="262"/>
      <c r="AL80" s="969"/>
      <c r="AM80" s="969"/>
      <c r="AN80" s="969"/>
      <c r="AO80" s="969"/>
      <c r="AP80" s="262"/>
      <c r="AQ80" s="969"/>
      <c r="AR80" s="969"/>
      <c r="AS80" s="969"/>
      <c r="AT80" s="969"/>
      <c r="AU80" s="262"/>
      <c r="AV80" s="969"/>
      <c r="AW80" s="969"/>
      <c r="AX80" s="969"/>
      <c r="AY80" s="969"/>
      <c r="AZ80" s="262"/>
      <c r="BA80" s="969"/>
      <c r="BB80" s="969"/>
      <c r="BC80" s="969"/>
      <c r="BD80" s="976"/>
      <c r="BE80" s="195"/>
      <c r="BF80" s="969"/>
      <c r="BG80" s="969"/>
      <c r="BH80" s="969"/>
      <c r="BI80" s="969"/>
      <c r="BJ80" s="65"/>
      <c r="BK80" s="969"/>
      <c r="BL80" s="969"/>
      <c r="BM80" s="969"/>
      <c r="BN80" s="969"/>
      <c r="BO80" s="261"/>
      <c r="BP80" s="969"/>
      <c r="BQ80" s="969"/>
      <c r="BR80" s="969"/>
      <c r="BS80" s="969"/>
      <c r="BT80" s="262"/>
      <c r="BU80" s="969"/>
      <c r="BV80" s="969"/>
      <c r="BW80" s="969"/>
      <c r="BX80" s="969"/>
      <c r="BY80" s="186"/>
      <c r="BZ80" s="969"/>
      <c r="CA80" s="969"/>
      <c r="CB80" s="969"/>
      <c r="CC80" s="969"/>
      <c r="CD80" s="840"/>
      <c r="CE80" s="969"/>
      <c r="CF80" s="969"/>
      <c r="CG80" s="969"/>
      <c r="CH80" s="969"/>
      <c r="CI80" s="261"/>
      <c r="CJ80" s="969"/>
      <c r="CK80" s="969"/>
      <c r="CL80" s="969"/>
      <c r="CM80" s="995"/>
      <c r="CN80" s="998"/>
      <c r="CO80" s="261"/>
      <c r="CP80" s="969"/>
      <c r="CQ80" s="969"/>
      <c r="CR80" s="969"/>
      <c r="CS80" s="995"/>
      <c r="CT80" s="998"/>
      <c r="CU80" s="261"/>
      <c r="CV80" s="969"/>
      <c r="CW80" s="969"/>
      <c r="CX80" s="969"/>
      <c r="CY80" s="995"/>
      <c r="CZ80" s="998"/>
      <c r="DA80" s="261"/>
      <c r="DB80" s="969"/>
      <c r="DC80" s="969"/>
      <c r="DD80" s="969"/>
      <c r="DE80" s="995"/>
      <c r="DF80" s="998"/>
      <c r="DG80" s="56"/>
      <c r="DH80" s="10" t="e">
        <f>SUMIFS(#REF!,#REF!,$C80,#REF!,$E80,#REF!,$F80)</f>
        <v>#REF!</v>
      </c>
      <c r="DI80" s="29" t="e">
        <f>COUNTIFS(#REF!,$C80,#REF!,$E80,#REF!,$F80,#REF!,"&gt;=0")</f>
        <v>#REF!</v>
      </c>
      <c r="DJ80" s="10" t="e">
        <f>COUNTIFS(#REF!,$C80,#REF!,$E80,#REF!,$F80,#REF!,"лично")</f>
        <v>#REF!</v>
      </c>
    </row>
    <row r="81" spans="1:114" ht="12" customHeight="1">
      <c r="A81" s="94">
        <f t="shared" si="12"/>
        <v>49</v>
      </c>
      <c r="B81" s="66" t="s">
        <v>35</v>
      </c>
      <c r="C81" s="255" t="s">
        <v>162</v>
      </c>
      <c r="D81" s="95"/>
      <c r="E81" s="256"/>
      <c r="F81" s="285" t="str">
        <f t="shared" si="0"/>
        <v>Сокращенное название</v>
      </c>
      <c r="G81" s="259" t="s">
        <v>326</v>
      </c>
      <c r="H81" s="469" t="str">
        <f t="shared" si="10"/>
        <v>Фамилия_1 Имя Отчество</v>
      </c>
      <c r="I81" s="260">
        <f t="shared" si="3"/>
        <v>0</v>
      </c>
      <c r="J81" s="970">
        <f t="shared" si="4"/>
        <v>0</v>
      </c>
      <c r="K81" s="260">
        <f t="shared" si="5"/>
        <v>0</v>
      </c>
      <c r="L81" s="970">
        <f t="shared" si="11"/>
        <v>0</v>
      </c>
      <c r="M81" s="974">
        <f t="shared" si="6"/>
        <v>0</v>
      </c>
      <c r="N81" s="201">
        <f t="shared" si="7"/>
        <v>0</v>
      </c>
      <c r="O81" s="972">
        <f t="shared" si="8"/>
        <v>0</v>
      </c>
      <c r="P81" s="201">
        <f t="shared" si="9"/>
        <v>0</v>
      </c>
      <c r="Q81" s="264"/>
      <c r="R81" s="969"/>
      <c r="S81" s="969"/>
      <c r="T81" s="969"/>
      <c r="U81" s="969"/>
      <c r="V81" s="262"/>
      <c r="W81" s="1001"/>
      <c r="X81" s="1001"/>
      <c r="Y81" s="1001"/>
      <c r="Z81" s="976"/>
      <c r="AA81" s="261"/>
      <c r="AB81" s="969"/>
      <c r="AC81" s="969"/>
      <c r="AD81" s="969"/>
      <c r="AE81" s="969"/>
      <c r="AF81" s="262"/>
      <c r="AG81" s="969"/>
      <c r="AH81" s="969"/>
      <c r="AI81" s="969"/>
      <c r="AJ81" s="969"/>
      <c r="AK81" s="262"/>
      <c r="AL81" s="969"/>
      <c r="AM81" s="969"/>
      <c r="AN81" s="969"/>
      <c r="AO81" s="969"/>
      <c r="AP81" s="262"/>
      <c r="AQ81" s="969"/>
      <c r="AR81" s="969"/>
      <c r="AS81" s="969"/>
      <c r="AT81" s="969"/>
      <c r="AU81" s="262"/>
      <c r="AV81" s="969"/>
      <c r="AW81" s="969"/>
      <c r="AX81" s="969"/>
      <c r="AY81" s="969"/>
      <c r="AZ81" s="262"/>
      <c r="BA81" s="969"/>
      <c r="BB81" s="969"/>
      <c r="BC81" s="969"/>
      <c r="BD81" s="976"/>
      <c r="BE81" s="195"/>
      <c r="BF81" s="969"/>
      <c r="BG81" s="969"/>
      <c r="BH81" s="969"/>
      <c r="BI81" s="969"/>
      <c r="BJ81" s="65"/>
      <c r="BK81" s="969"/>
      <c r="BL81" s="969"/>
      <c r="BM81" s="969"/>
      <c r="BN81" s="969"/>
      <c r="BO81" s="261"/>
      <c r="BP81" s="969"/>
      <c r="BQ81" s="969"/>
      <c r="BR81" s="969"/>
      <c r="BS81" s="969"/>
      <c r="BT81" s="262"/>
      <c r="BU81" s="969"/>
      <c r="BV81" s="969"/>
      <c r="BW81" s="969"/>
      <c r="BX81" s="969"/>
      <c r="BY81" s="186"/>
      <c r="BZ81" s="969"/>
      <c r="CA81" s="969"/>
      <c r="CB81" s="969"/>
      <c r="CC81" s="969"/>
      <c r="CD81" s="840"/>
      <c r="CE81" s="969"/>
      <c r="CF81" s="969"/>
      <c r="CG81" s="969"/>
      <c r="CH81" s="969"/>
      <c r="CI81" s="261"/>
      <c r="CJ81" s="969"/>
      <c r="CK81" s="969"/>
      <c r="CL81" s="969"/>
      <c r="CM81" s="995"/>
      <c r="CN81" s="998"/>
      <c r="CO81" s="261"/>
      <c r="CP81" s="969"/>
      <c r="CQ81" s="969"/>
      <c r="CR81" s="969"/>
      <c r="CS81" s="995"/>
      <c r="CT81" s="998"/>
      <c r="CU81" s="261"/>
      <c r="CV81" s="969"/>
      <c r="CW81" s="969"/>
      <c r="CX81" s="969"/>
      <c r="CY81" s="995"/>
      <c r="CZ81" s="998"/>
      <c r="DA81" s="261"/>
      <c r="DB81" s="969"/>
      <c r="DC81" s="969"/>
      <c r="DD81" s="969"/>
      <c r="DE81" s="995"/>
      <c r="DF81" s="998"/>
      <c r="DG81" s="56"/>
      <c r="DH81" s="10" t="e">
        <f>SUMIFS(#REF!,#REF!,$C81,#REF!,$E81,#REF!,$F81)</f>
        <v>#REF!</v>
      </c>
      <c r="DI81" s="29" t="e">
        <f>COUNTIFS(#REF!,$C81,#REF!,$E81,#REF!,$F81,#REF!,"&gt;=0")</f>
        <v>#REF!</v>
      </c>
      <c r="DJ81" s="10" t="e">
        <f>COUNTIFS(#REF!,$C81,#REF!,$E81,#REF!,$F81,#REF!,"лично")</f>
        <v>#REF!</v>
      </c>
    </row>
    <row r="82" spans="1:114" ht="12.75" customHeight="1" thickBot="1">
      <c r="A82" s="96">
        <f t="shared" si="12"/>
        <v>50</v>
      </c>
      <c r="B82" s="99" t="s">
        <v>10</v>
      </c>
      <c r="C82" s="269" t="s">
        <v>162</v>
      </c>
      <c r="D82" s="97"/>
      <c r="E82" s="270"/>
      <c r="F82" s="286" t="str">
        <f t="shared" si="0"/>
        <v>Сокращенное название</v>
      </c>
      <c r="G82" s="272" t="s">
        <v>326</v>
      </c>
      <c r="H82" s="470" t="str">
        <f t="shared" si="10"/>
        <v>Фамилия_1 Имя Отчество</v>
      </c>
      <c r="I82" s="273">
        <f t="shared" si="3"/>
        <v>0</v>
      </c>
      <c r="J82" s="971">
        <f t="shared" si="4"/>
        <v>0</v>
      </c>
      <c r="K82" s="273">
        <f t="shared" si="5"/>
        <v>0</v>
      </c>
      <c r="L82" s="970">
        <f t="shared" si="11"/>
        <v>0</v>
      </c>
      <c r="M82" s="975">
        <f t="shared" si="6"/>
        <v>0</v>
      </c>
      <c r="N82" s="202">
        <f t="shared" si="7"/>
        <v>0</v>
      </c>
      <c r="O82" s="973">
        <f t="shared" si="8"/>
        <v>0</v>
      </c>
      <c r="P82" s="202">
        <f t="shared" si="9"/>
        <v>0</v>
      </c>
      <c r="Q82" s="277"/>
      <c r="R82" s="978"/>
      <c r="S82" s="978"/>
      <c r="T82" s="978"/>
      <c r="U82" s="978"/>
      <c r="V82" s="275"/>
      <c r="W82" s="1002"/>
      <c r="X82" s="1002"/>
      <c r="Y82" s="1002"/>
      <c r="Z82" s="516"/>
      <c r="AA82" s="274"/>
      <c r="AB82" s="978"/>
      <c r="AC82" s="978"/>
      <c r="AD82" s="978"/>
      <c r="AE82" s="978"/>
      <c r="AF82" s="275"/>
      <c r="AG82" s="978"/>
      <c r="AH82" s="978"/>
      <c r="AI82" s="978"/>
      <c r="AJ82" s="978"/>
      <c r="AK82" s="275"/>
      <c r="AL82" s="978"/>
      <c r="AM82" s="978"/>
      <c r="AN82" s="978"/>
      <c r="AO82" s="978"/>
      <c r="AP82" s="275"/>
      <c r="AQ82" s="978"/>
      <c r="AR82" s="978"/>
      <c r="AS82" s="978"/>
      <c r="AT82" s="978"/>
      <c r="AU82" s="275"/>
      <c r="AV82" s="978"/>
      <c r="AW82" s="978"/>
      <c r="AX82" s="978"/>
      <c r="AY82" s="978"/>
      <c r="AZ82" s="275"/>
      <c r="BA82" s="978"/>
      <c r="BB82" s="978"/>
      <c r="BC82" s="978"/>
      <c r="BD82" s="516"/>
      <c r="BE82" s="196"/>
      <c r="BF82" s="978"/>
      <c r="BG82" s="978"/>
      <c r="BH82" s="978"/>
      <c r="BI82" s="978"/>
      <c r="BJ82" s="67"/>
      <c r="BK82" s="978"/>
      <c r="BL82" s="978"/>
      <c r="BM82" s="978"/>
      <c r="BN82" s="978"/>
      <c r="BO82" s="274"/>
      <c r="BP82" s="978"/>
      <c r="BQ82" s="978"/>
      <c r="BR82" s="978"/>
      <c r="BS82" s="978"/>
      <c r="BT82" s="275"/>
      <c r="BU82" s="978"/>
      <c r="BV82" s="978"/>
      <c r="BW82" s="978"/>
      <c r="BX82" s="978"/>
      <c r="BY82" s="187"/>
      <c r="BZ82" s="978"/>
      <c r="CA82" s="978"/>
      <c r="CB82" s="978"/>
      <c r="CC82" s="978"/>
      <c r="CD82" s="841"/>
      <c r="CE82" s="978"/>
      <c r="CF82" s="978"/>
      <c r="CG82" s="978"/>
      <c r="CH82" s="978"/>
      <c r="CI82" s="274"/>
      <c r="CJ82" s="978"/>
      <c r="CK82" s="978"/>
      <c r="CL82" s="978"/>
      <c r="CM82" s="996"/>
      <c r="CN82" s="999"/>
      <c r="CO82" s="274"/>
      <c r="CP82" s="978"/>
      <c r="CQ82" s="978"/>
      <c r="CR82" s="978"/>
      <c r="CS82" s="996"/>
      <c r="CT82" s="999"/>
      <c r="CU82" s="274"/>
      <c r="CV82" s="978"/>
      <c r="CW82" s="978"/>
      <c r="CX82" s="978"/>
      <c r="CY82" s="996"/>
      <c r="CZ82" s="999"/>
      <c r="DA82" s="274"/>
      <c r="DB82" s="978"/>
      <c r="DC82" s="978"/>
      <c r="DD82" s="978"/>
      <c r="DE82" s="996"/>
      <c r="DF82" s="999"/>
      <c r="DG82" s="56"/>
      <c r="DH82" s="10" t="e">
        <f>SUMIFS(#REF!,#REF!,$C82,#REF!,$E82,#REF!,$F82)</f>
        <v>#REF!</v>
      </c>
      <c r="DI82" s="29" t="e">
        <f>COUNTIFS(#REF!,$C82,#REF!,$E82,#REF!,$F82,#REF!,"&gt;=0")</f>
        <v>#REF!</v>
      </c>
      <c r="DJ82" s="10" t="e">
        <f>COUNTIFS(#REF!,$C82,#REF!,$E82,#REF!,$F82,#REF!,"лично")</f>
        <v>#REF!</v>
      </c>
    </row>
    <row r="83" spans="1:114" ht="10.5" customHeight="1">
      <c r="A83" s="1"/>
      <c r="B83" s="287"/>
      <c r="C83" s="14"/>
      <c r="D83" s="288"/>
      <c r="E83" s="288"/>
      <c r="F83" s="288"/>
      <c r="G83" s="101" t="s">
        <v>110</v>
      </c>
      <c r="H83" s="101" t="s">
        <v>118</v>
      </c>
      <c r="I83" s="126">
        <f>SUMIF(A33:A82,"Ж",I33:I82)</f>
        <v>0</v>
      </c>
      <c r="J83" s="126">
        <f>SUMIF(A33:A82,"Ж",J33:J82)</f>
        <v>0</v>
      </c>
      <c r="K83" s="126">
        <f>SUMIF(C33:C82,"Ж",K33:K82)</f>
        <v>0</v>
      </c>
      <c r="L83" s="126">
        <f>SUMIF(C33:C82,"Ж",L33:L82)</f>
        <v>0</v>
      </c>
      <c r="M83" s="126">
        <f>SUMIF(E33:E82,"Ж",M33:M82)</f>
        <v>0</v>
      </c>
      <c r="N83" s="126">
        <f>SUMIF(E33:E82,"Ж",N33:N82)</f>
        <v>0</v>
      </c>
      <c r="O83" s="126">
        <f>SUMIF(G33:G82,"Ж",O33:O82)</f>
        <v>0</v>
      </c>
      <c r="P83" s="126">
        <f>SUMIF(G33:G82,"Ж",P33:P82)</f>
        <v>1</v>
      </c>
      <c r="Q83" s="102"/>
      <c r="R83" s="102"/>
      <c r="S83" s="102"/>
      <c r="T83" s="102"/>
      <c r="U83" s="102"/>
      <c r="V83" s="102"/>
      <c r="W83" s="102"/>
      <c r="X83" s="102"/>
      <c r="Y83" s="102"/>
      <c r="Z83" s="102"/>
      <c r="AA83" s="103"/>
      <c r="AB83" s="102"/>
      <c r="AC83" s="102"/>
      <c r="AD83" s="102"/>
      <c r="AE83" s="103"/>
      <c r="AF83" s="103"/>
      <c r="AG83" s="102"/>
      <c r="AH83" s="102"/>
      <c r="AI83" s="102"/>
      <c r="AJ83" s="103"/>
      <c r="AK83" s="90"/>
      <c r="AL83" s="102"/>
      <c r="AM83" s="102"/>
      <c r="AN83" s="102"/>
      <c r="AO83" s="90"/>
      <c r="AP83" s="90"/>
      <c r="AQ83" s="102"/>
      <c r="AR83" s="102"/>
      <c r="AS83" s="102"/>
      <c r="AT83" s="90"/>
      <c r="AU83" s="102"/>
      <c r="AV83" s="102"/>
      <c r="AW83" s="102"/>
      <c r="AX83" s="102"/>
      <c r="AY83" s="102"/>
      <c r="AZ83" s="102"/>
      <c r="BA83" s="102"/>
      <c r="BB83" s="102"/>
      <c r="BC83" s="102"/>
      <c r="BD83" s="102"/>
      <c r="BE83" s="102"/>
      <c r="BF83" s="102"/>
      <c r="BG83" s="102"/>
      <c r="BH83" s="102"/>
      <c r="BI83" s="102"/>
      <c r="BJ83" s="289"/>
      <c r="BK83" s="102"/>
      <c r="BL83" s="102"/>
      <c r="BM83" s="102"/>
      <c r="BN83" s="289"/>
      <c r="BO83" s="102"/>
      <c r="BP83" s="102"/>
      <c r="BQ83" s="102"/>
      <c r="BR83" s="102"/>
      <c r="BS83" s="102"/>
      <c r="BT83" s="102"/>
      <c r="BU83" s="102"/>
      <c r="BV83" s="102"/>
      <c r="BW83" s="102"/>
      <c r="BX83" s="102"/>
      <c r="BY83" s="102"/>
      <c r="BZ83" s="102"/>
      <c r="CA83" s="102"/>
      <c r="CB83" s="102"/>
      <c r="CC83" s="102"/>
      <c r="CD83" s="102"/>
      <c r="CE83" s="102"/>
      <c r="CF83" s="102"/>
      <c r="CG83" s="102"/>
      <c r="CH83" s="102"/>
      <c r="CI83" s="90"/>
      <c r="CJ83" s="102"/>
      <c r="CK83" s="102"/>
      <c r="CL83" s="102"/>
      <c r="CM83" s="102"/>
      <c r="CN83" s="182"/>
      <c r="CO83" s="90"/>
      <c r="CP83" s="102"/>
      <c r="CQ83" s="102"/>
      <c r="CR83" s="102"/>
      <c r="CS83" s="102"/>
      <c r="CT83" s="182"/>
      <c r="CU83" s="90"/>
      <c r="CV83" s="102"/>
      <c r="CW83" s="102"/>
      <c r="CX83" s="102"/>
      <c r="CY83" s="102"/>
      <c r="DB83" s="102"/>
      <c r="DC83" s="102"/>
      <c r="DD83" s="102"/>
      <c r="DE83" s="102"/>
      <c r="DH83" s="4" t="e">
        <f>SUM(DH33:DH82)</f>
        <v>#REF!</v>
      </c>
      <c r="DI83" s="4" t="e">
        <f>SUM(DI33:DI82)</f>
        <v>#REF!</v>
      </c>
      <c r="DJ83" s="4" t="e">
        <f>SUM(DJ33:DJ82)</f>
        <v>#REF!</v>
      </c>
    </row>
    <row r="84" spans="1:114" ht="10.5" customHeight="1">
      <c r="A84" s="1"/>
      <c r="B84" s="287"/>
      <c r="C84" s="14"/>
      <c r="D84" s="288"/>
      <c r="E84" s="288"/>
      <c r="F84" s="288"/>
      <c r="G84" s="101"/>
      <c r="H84" s="101" t="s">
        <v>117</v>
      </c>
      <c r="I84" s="126">
        <f>SUMIF(A33:A82,"М",I33:I82)</f>
        <v>0</v>
      </c>
      <c r="J84" s="126">
        <f>SUMIF(A33:A82,"М",J33:J82)</f>
        <v>0</v>
      </c>
      <c r="K84" s="126">
        <f>SUMIF(C33:C82,"М",K33:K82)</f>
        <v>0</v>
      </c>
      <c r="L84" s="126">
        <f>SUMIF(C33:C82,"М",L33:L82)</f>
        <v>0</v>
      </c>
      <c r="M84" s="126">
        <f>SUMIF(E33:E82,"М",M33:M82)</f>
        <v>0</v>
      </c>
      <c r="N84" s="126">
        <f>SUMIF(E33:E82,"М",N33:N82)</f>
        <v>0</v>
      </c>
      <c r="O84" s="126">
        <f>SUMIF(G33:G82,"М",O33:O82)</f>
        <v>0</v>
      </c>
      <c r="P84" s="126">
        <f>SUMIF(G33:G82,"М",P33:P82)</f>
        <v>0</v>
      </c>
      <c r="Q84" s="102"/>
      <c r="R84" s="102"/>
      <c r="S84" s="102"/>
      <c r="T84" s="102"/>
      <c r="U84" s="102"/>
      <c r="V84" s="102"/>
      <c r="W84" s="102"/>
      <c r="X84" s="102"/>
      <c r="Y84" s="102"/>
      <c r="Z84" s="102"/>
      <c r="AA84" s="103"/>
      <c r="AB84" s="102"/>
      <c r="AC84" s="102"/>
      <c r="AD84" s="102"/>
      <c r="AE84" s="103"/>
      <c r="AF84" s="103"/>
      <c r="AG84" s="102"/>
      <c r="AH84" s="102"/>
      <c r="AI84" s="102"/>
      <c r="AJ84" s="103"/>
      <c r="AK84" s="90"/>
      <c r="AL84" s="102"/>
      <c r="AM84" s="102"/>
      <c r="AN84" s="102"/>
      <c r="AO84" s="90"/>
      <c r="AP84" s="90"/>
      <c r="AQ84" s="102"/>
      <c r="AR84" s="102"/>
      <c r="AS84" s="102"/>
      <c r="AT84" s="90"/>
      <c r="AU84" s="102"/>
      <c r="AV84" s="102"/>
      <c r="AW84" s="102"/>
      <c r="AX84" s="102"/>
      <c r="AY84" s="102"/>
      <c r="AZ84" s="102"/>
      <c r="BA84" s="102"/>
      <c r="BB84" s="102"/>
      <c r="BC84" s="102"/>
      <c r="BD84" s="102"/>
      <c r="BE84" s="102"/>
      <c r="BF84" s="102"/>
      <c r="BG84" s="102"/>
      <c r="BH84" s="102"/>
      <c r="BI84" s="102"/>
      <c r="BJ84" s="289"/>
      <c r="BK84" s="102"/>
      <c r="BL84" s="102"/>
      <c r="BM84" s="102"/>
      <c r="BN84" s="289"/>
      <c r="BO84" s="102"/>
      <c r="BP84" s="102"/>
      <c r="BQ84" s="102"/>
      <c r="BR84" s="102"/>
      <c r="BS84" s="102"/>
      <c r="BT84" s="102"/>
      <c r="BU84" s="102"/>
      <c r="BV84" s="102"/>
      <c r="BW84" s="102"/>
      <c r="BX84" s="102"/>
      <c r="BY84" s="102"/>
      <c r="BZ84" s="102"/>
      <c r="CA84" s="102"/>
      <c r="CB84" s="102"/>
      <c r="CC84" s="102"/>
      <c r="CD84" s="102"/>
      <c r="CE84" s="102"/>
      <c r="CF84" s="102"/>
      <c r="CG84" s="102"/>
      <c r="CH84" s="102"/>
      <c r="CI84" s="90"/>
      <c r="CJ84" s="102"/>
      <c r="CK84" s="102"/>
      <c r="CL84" s="102"/>
      <c r="CM84" s="102"/>
      <c r="CN84" s="182"/>
      <c r="CO84" s="90"/>
      <c r="CP84" s="102"/>
      <c r="CQ84" s="102"/>
      <c r="CR84" s="102"/>
      <c r="CS84" s="102"/>
      <c r="CT84" s="182"/>
      <c r="CU84" s="90"/>
      <c r="CV84" s="102"/>
      <c r="CW84" s="102"/>
      <c r="CX84" s="102"/>
      <c r="CY84" s="102"/>
      <c r="DB84" s="102"/>
      <c r="DC84" s="102"/>
      <c r="DD84" s="102"/>
      <c r="DE84" s="102"/>
      <c r="DH84" s="4"/>
      <c r="DI84" s="4"/>
      <c r="DJ84" s="4"/>
    </row>
    <row r="85" spans="1:114" ht="12.75" customHeight="1">
      <c r="A85" s="77"/>
      <c r="B85" s="25"/>
      <c r="C85" s="12"/>
      <c r="D85" s="26"/>
      <c r="E85" s="18"/>
      <c r="F85" s="290"/>
      <c r="G85" s="192"/>
      <c r="H85" s="101" t="s">
        <v>231</v>
      </c>
      <c r="I85" s="203">
        <f>COUNTIFS(I33:I82,"&gt;0",A33:A82,"Ж")</f>
        <v>0</v>
      </c>
      <c r="J85" s="10"/>
      <c r="K85" s="203">
        <f>COUNTIFS(K33:K82,"&gt;0",C33:C82,"Ж")</f>
        <v>0</v>
      </c>
      <c r="L85" s="10"/>
      <c r="M85" s="203">
        <f>COUNTIFS(M33:M82,"&gt;0",E33:E82,"Ж")</f>
        <v>0</v>
      </c>
      <c r="N85" s="10"/>
      <c r="O85" s="203">
        <f>COUNTIFS(O33:O82,"&gt;0",G33:G82,"Ж")</f>
        <v>0</v>
      </c>
      <c r="P85" s="10"/>
      <c r="Q85" s="291"/>
      <c r="R85" s="291"/>
      <c r="S85" s="291"/>
      <c r="T85" s="291"/>
      <c r="U85" s="291"/>
      <c r="V85" s="291"/>
      <c r="W85" s="291"/>
      <c r="X85" s="291"/>
      <c r="Y85" s="291"/>
      <c r="Z85" s="291"/>
      <c r="AA85" s="291"/>
      <c r="AB85" s="291"/>
      <c r="AC85" s="291"/>
      <c r="AD85" s="291"/>
      <c r="AE85" s="291"/>
      <c r="AF85" s="291"/>
      <c r="AG85" s="291"/>
      <c r="AH85" s="291"/>
      <c r="AI85" s="291"/>
      <c r="AJ85" s="291"/>
      <c r="AK85" s="291"/>
      <c r="AL85" s="291"/>
      <c r="AM85" s="291"/>
      <c r="AN85" s="291"/>
      <c r="AO85" s="291"/>
      <c r="AP85" s="291"/>
      <c r="AQ85" s="291"/>
      <c r="AR85" s="291"/>
      <c r="AS85" s="291"/>
      <c r="AT85" s="291"/>
      <c r="AU85" s="291"/>
      <c r="AV85" s="291"/>
      <c r="AW85" s="291"/>
      <c r="AX85" s="291"/>
      <c r="AY85" s="291"/>
      <c r="AZ85" s="291"/>
      <c r="BA85" s="291"/>
      <c r="BB85" s="291"/>
      <c r="BC85" s="291"/>
      <c r="BD85" s="291"/>
      <c r="BE85" s="54"/>
      <c r="BF85" s="291"/>
      <c r="BG85" s="291"/>
      <c r="BH85" s="291"/>
      <c r="BI85" s="54"/>
      <c r="BJ85" s="54"/>
      <c r="BK85" s="291"/>
      <c r="BL85" s="291"/>
      <c r="BM85" s="291"/>
      <c r="BN85" s="54"/>
      <c r="BO85" s="291"/>
      <c r="BP85" s="291"/>
      <c r="BQ85" s="291"/>
      <c r="BR85" s="291"/>
      <c r="BS85" s="291"/>
      <c r="BT85" s="291"/>
      <c r="BU85" s="291"/>
      <c r="BV85" s="291"/>
      <c r="BW85" s="291"/>
      <c r="BX85" s="291"/>
      <c r="BY85" s="291"/>
      <c r="BZ85" s="291"/>
      <c r="CA85" s="291"/>
      <c r="CB85" s="291"/>
      <c r="CC85" s="291"/>
      <c r="CD85" s="54"/>
      <c r="CE85" s="291"/>
      <c r="CF85" s="291"/>
      <c r="CG85" s="291"/>
      <c r="CH85" s="54"/>
      <c r="CI85" s="291"/>
      <c r="CJ85" s="291"/>
      <c r="CK85" s="291"/>
      <c r="CL85" s="291"/>
      <c r="CM85" s="54"/>
      <c r="CN85" s="55"/>
      <c r="CO85" s="56"/>
      <c r="CP85" s="291"/>
      <c r="CQ85" s="291"/>
      <c r="CR85" s="291"/>
      <c r="CS85" s="54"/>
      <c r="CT85" s="10"/>
      <c r="CU85" s="29"/>
      <c r="CV85" s="291"/>
      <c r="CW85" s="291"/>
      <c r="CX85" s="291"/>
      <c r="CY85" s="54"/>
      <c r="CZ85" s="10"/>
      <c r="DB85" s="291"/>
      <c r="DC85" s="291"/>
      <c r="DD85" s="291"/>
      <c r="DE85" s="54"/>
      <c r="DF85" s="12"/>
    </row>
    <row r="86" spans="1:114" ht="12.75" customHeight="1">
      <c r="A86" s="77"/>
      <c r="B86" s="25"/>
      <c r="C86" s="12"/>
      <c r="D86" s="26"/>
      <c r="E86" s="18"/>
      <c r="F86" s="290"/>
      <c r="G86" s="192"/>
      <c r="H86" s="101" t="s">
        <v>232</v>
      </c>
      <c r="I86" s="203">
        <f>COUNTIFS(I33:I82,"&gt;0",A33:A82,"М")</f>
        <v>0</v>
      </c>
      <c r="J86" s="10"/>
      <c r="K86" s="203">
        <f>COUNTIFS(K33:K82,"&gt;0",C33:C82,"М")</f>
        <v>0</v>
      </c>
      <c r="L86" s="10"/>
      <c r="M86" s="203">
        <f>COUNTIFS(M33:M82,"&gt;0",E33:E82,"М")</f>
        <v>0</v>
      </c>
      <c r="N86" s="10"/>
      <c r="O86" s="203">
        <f>COUNTIFS(O33:O82,"&gt;0",G33:G82,"М")</f>
        <v>0</v>
      </c>
      <c r="P86" s="10"/>
      <c r="Q86" s="291"/>
      <c r="R86" s="291"/>
      <c r="S86" s="291"/>
      <c r="T86" s="291"/>
      <c r="U86" s="291"/>
      <c r="V86" s="291"/>
      <c r="W86" s="291"/>
      <c r="X86" s="291"/>
      <c r="Y86" s="291"/>
      <c r="Z86" s="291"/>
      <c r="AA86" s="291"/>
      <c r="AB86" s="291"/>
      <c r="AC86" s="291"/>
      <c r="AD86" s="291"/>
      <c r="AE86" s="291"/>
      <c r="AF86" s="291"/>
      <c r="AG86" s="291"/>
      <c r="AH86" s="291"/>
      <c r="AI86" s="291"/>
      <c r="AJ86" s="291"/>
      <c r="AK86" s="291"/>
      <c r="AL86" s="291"/>
      <c r="AM86" s="291"/>
      <c r="AN86" s="291"/>
      <c r="AO86" s="291"/>
      <c r="AP86" s="291"/>
      <c r="AQ86" s="291"/>
      <c r="AR86" s="291"/>
      <c r="AS86" s="291"/>
      <c r="AT86" s="291"/>
      <c r="AU86" s="291"/>
      <c r="AV86" s="291"/>
      <c r="AW86" s="291"/>
      <c r="AX86" s="291"/>
      <c r="AY86" s="291"/>
      <c r="AZ86" s="291"/>
      <c r="BA86" s="291"/>
      <c r="BB86" s="291"/>
      <c r="BC86" s="291"/>
      <c r="BD86" s="291"/>
      <c r="BE86" s="54"/>
      <c r="BF86" s="291"/>
      <c r="BG86" s="291"/>
      <c r="BH86" s="291"/>
      <c r="BI86" s="54"/>
      <c r="BJ86" s="54"/>
      <c r="BK86" s="291"/>
      <c r="BL86" s="291"/>
      <c r="BM86" s="291"/>
      <c r="BN86" s="54"/>
      <c r="BO86" s="291"/>
      <c r="BP86" s="291"/>
      <c r="BQ86" s="291"/>
      <c r="BR86" s="291"/>
      <c r="BS86" s="291"/>
      <c r="BT86" s="291"/>
      <c r="BU86" s="291"/>
      <c r="BV86" s="291"/>
      <c r="BW86" s="291"/>
      <c r="BX86" s="291"/>
      <c r="BY86" s="291"/>
      <c r="BZ86" s="291"/>
      <c r="CA86" s="291"/>
      <c r="CB86" s="291"/>
      <c r="CC86" s="291"/>
      <c r="CD86" s="54"/>
      <c r="CE86" s="291"/>
      <c r="CF86" s="291"/>
      <c r="CG86" s="291"/>
      <c r="CH86" s="54"/>
      <c r="CI86" s="291"/>
      <c r="CJ86" s="291"/>
      <c r="CK86" s="291"/>
      <c r="CL86" s="291"/>
      <c r="CM86" s="54"/>
      <c r="CN86" s="55"/>
      <c r="CO86" s="56"/>
      <c r="CP86" s="291"/>
      <c r="CQ86" s="291"/>
      <c r="CR86" s="291"/>
      <c r="CS86" s="54"/>
      <c r="CT86" s="10"/>
      <c r="CU86" s="29"/>
      <c r="CV86" s="291"/>
      <c r="CW86" s="291"/>
      <c r="CX86" s="291"/>
      <c r="CY86" s="54"/>
      <c r="CZ86" s="10"/>
      <c r="DB86" s="291"/>
      <c r="DC86" s="291"/>
      <c r="DD86" s="291"/>
      <c r="DE86" s="54"/>
      <c r="DF86" s="12"/>
    </row>
    <row r="87" spans="1:114" ht="10.5" customHeight="1">
      <c r="A87" s="1"/>
      <c r="B87" s="287"/>
      <c r="C87" s="14"/>
      <c r="D87" s="288"/>
      <c r="E87" s="288"/>
      <c r="F87" s="288"/>
      <c r="G87" s="101"/>
      <c r="H87" s="101"/>
      <c r="I87" s="101"/>
      <c r="J87" s="127"/>
      <c r="K87" s="127"/>
      <c r="L87" s="127"/>
      <c r="M87" s="127"/>
      <c r="N87" s="127"/>
      <c r="O87" s="102"/>
      <c r="P87" s="102"/>
      <c r="Q87" s="127"/>
      <c r="R87" s="127"/>
      <c r="S87" s="127"/>
      <c r="T87" s="102"/>
      <c r="U87" s="102"/>
      <c r="V87" s="127"/>
      <c r="W87" s="127"/>
      <c r="X87" s="127"/>
      <c r="Y87" s="103"/>
      <c r="Z87" s="103"/>
      <c r="AA87" s="127"/>
      <c r="AB87" s="127"/>
      <c r="AC87" s="127"/>
      <c r="AD87" s="103"/>
      <c r="AE87" s="103"/>
      <c r="AF87" s="127"/>
      <c r="AG87" s="127"/>
      <c r="AH87" s="127"/>
      <c r="AI87" s="90"/>
      <c r="AJ87" s="90"/>
      <c r="AK87" s="127"/>
      <c r="AL87" s="127"/>
      <c r="AM87" s="127"/>
      <c r="AN87" s="90"/>
      <c r="AO87" s="90"/>
      <c r="AP87" s="127"/>
      <c r="AQ87" s="127"/>
      <c r="AR87" s="127"/>
      <c r="AS87" s="102"/>
      <c r="AT87" s="102"/>
      <c r="AU87" s="127"/>
      <c r="AV87" s="127"/>
      <c r="AW87" s="127"/>
      <c r="AX87" s="102"/>
      <c r="AY87" s="102"/>
      <c r="AZ87" s="127"/>
      <c r="BA87" s="127"/>
      <c r="BB87" s="127"/>
      <c r="BC87" s="102"/>
      <c r="BD87" s="102"/>
      <c r="BE87" s="127"/>
      <c r="BF87" s="127"/>
      <c r="BG87" s="127"/>
      <c r="BH87" s="289"/>
      <c r="BI87" s="289"/>
      <c r="BJ87" s="127"/>
      <c r="BK87" s="127"/>
      <c r="BL87" s="127"/>
      <c r="BM87" s="102"/>
      <c r="BN87" s="102"/>
      <c r="BO87" s="127"/>
      <c r="BP87" s="127"/>
      <c r="BQ87" s="127"/>
      <c r="BR87" s="102"/>
      <c r="BS87" s="102"/>
      <c r="BT87" s="127"/>
      <c r="BU87" s="127"/>
      <c r="BV87" s="127"/>
      <c r="BW87" s="102"/>
      <c r="BX87" s="102"/>
      <c r="BY87" s="127"/>
      <c r="BZ87" s="127"/>
      <c r="CA87" s="127"/>
      <c r="CB87" s="102"/>
      <c r="CC87" s="182"/>
      <c r="CD87" s="127"/>
      <c r="CE87" s="127"/>
      <c r="CF87" s="127"/>
      <c r="CG87" s="102"/>
      <c r="CH87" s="90"/>
      <c r="CI87" s="182"/>
      <c r="CJ87" s="127"/>
      <c r="CK87" s="127"/>
      <c r="CL87" s="127"/>
      <c r="CM87" s="102"/>
      <c r="CN87" s="90"/>
      <c r="CO87" s="182"/>
      <c r="CP87" s="127"/>
      <c r="CQ87" s="127"/>
      <c r="CR87" s="127"/>
      <c r="CS87" s="102"/>
      <c r="CT87" s="90"/>
      <c r="CU87" s="4"/>
      <c r="CV87" s="127"/>
      <c r="CW87" s="127"/>
      <c r="CX87" s="127"/>
      <c r="CY87" s="102"/>
      <c r="CZ87" s="4"/>
      <c r="DA87" s="4"/>
    </row>
    <row r="88" spans="1:114" ht="12.75" customHeight="1">
      <c r="A88" s="517" t="s">
        <v>111</v>
      </c>
      <c r="B88" s="2"/>
      <c r="C88" s="2"/>
      <c r="E88" s="518" t="s">
        <v>222</v>
      </c>
      <c r="G88" s="2"/>
      <c r="H88" s="2"/>
      <c r="I88" s="2"/>
      <c r="J88" s="2"/>
      <c r="K88" s="2"/>
      <c r="L88" s="2"/>
      <c r="M88" s="2"/>
      <c r="N88" s="2"/>
      <c r="O88" s="125"/>
      <c r="P88" s="60"/>
      <c r="Q88" s="2"/>
      <c r="R88" s="2"/>
      <c r="S88" s="2"/>
      <c r="T88" s="60"/>
      <c r="U88" s="60"/>
      <c r="V88" s="2"/>
      <c r="W88" s="2"/>
      <c r="X88" s="2"/>
      <c r="Y88" s="58"/>
      <c r="Z88" s="58"/>
      <c r="AA88" s="2"/>
      <c r="AB88" s="2"/>
      <c r="AC88" s="2"/>
      <c r="AD88" s="58"/>
      <c r="AE88" s="58"/>
      <c r="AF88" s="2"/>
      <c r="AG88" s="2"/>
      <c r="AH88" s="2"/>
      <c r="AI88" s="59"/>
      <c r="AJ88" s="59"/>
      <c r="AK88" s="2"/>
      <c r="AL88" s="2"/>
      <c r="AM88" s="2"/>
      <c r="AN88" s="59"/>
      <c r="AO88" s="59"/>
      <c r="AP88" s="2"/>
      <c r="AQ88" s="2"/>
      <c r="AR88" s="2"/>
      <c r="AS88" s="60"/>
      <c r="AT88" s="60"/>
      <c r="AU88" s="2"/>
      <c r="AV88" s="2"/>
      <c r="AW88" s="2"/>
      <c r="AX88" s="60"/>
      <c r="AY88" s="60"/>
      <c r="AZ88" s="2"/>
      <c r="BA88" s="2"/>
      <c r="BB88" s="2"/>
      <c r="BC88" s="60"/>
      <c r="BD88" s="60"/>
      <c r="BE88" s="2"/>
      <c r="BF88" s="2"/>
      <c r="BG88" s="2"/>
      <c r="BH88" s="60"/>
      <c r="BI88" s="102"/>
      <c r="BJ88" s="2"/>
      <c r="BK88" s="2"/>
      <c r="BL88" s="2"/>
      <c r="BM88" s="102"/>
      <c r="BN88" s="102"/>
      <c r="BO88" s="2"/>
      <c r="BP88" s="2"/>
      <c r="BQ88" s="2"/>
      <c r="BR88" s="102"/>
      <c r="BS88" s="102"/>
      <c r="BT88" s="2"/>
      <c r="BU88" s="2"/>
      <c r="BV88" s="2"/>
      <c r="BW88" s="102"/>
      <c r="BX88" s="102"/>
      <c r="BY88" s="2"/>
      <c r="BZ88" s="2"/>
      <c r="CA88" s="2"/>
      <c r="CB88" s="102"/>
      <c r="CC88" s="182"/>
      <c r="CD88" s="2"/>
      <c r="CE88" s="2"/>
      <c r="CF88" s="2"/>
      <c r="CG88" s="102"/>
      <c r="CH88" s="90"/>
      <c r="CI88" s="182"/>
      <c r="CJ88" s="2"/>
      <c r="CK88" s="2"/>
      <c r="CL88" s="2"/>
      <c r="CM88" s="102"/>
      <c r="CN88" s="90"/>
      <c r="CO88" s="182"/>
      <c r="CP88" s="2"/>
      <c r="CQ88" s="2"/>
      <c r="CR88" s="2"/>
      <c r="CS88" s="102"/>
      <c r="CT88" s="59"/>
      <c r="CU88" s="3"/>
      <c r="CV88" s="2"/>
      <c r="CW88" s="2"/>
      <c r="CX88" s="2"/>
      <c r="CY88" s="102"/>
      <c r="CZ88" s="3"/>
      <c r="DA88" s="3"/>
    </row>
    <row r="89" spans="1:114" ht="12.75" customHeight="1">
      <c r="A89" s="517" t="s">
        <v>111</v>
      </c>
      <c r="B89" s="2"/>
      <c r="C89" s="2"/>
      <c r="E89" s="518" t="s">
        <v>223</v>
      </c>
      <c r="G89" s="2"/>
      <c r="H89" s="2"/>
      <c r="I89" s="2"/>
      <c r="J89" s="2"/>
      <c r="K89" s="2"/>
      <c r="L89" s="2"/>
      <c r="M89" s="2"/>
      <c r="N89" s="2"/>
      <c r="O89" s="60"/>
      <c r="P89" s="60"/>
      <c r="Q89" s="2"/>
      <c r="R89" s="2"/>
      <c r="S89" s="2"/>
      <c r="T89" s="60"/>
      <c r="U89" s="60"/>
      <c r="V89" s="2"/>
      <c r="W89" s="2"/>
      <c r="X89" s="2"/>
      <c r="Y89" s="58"/>
      <c r="Z89" s="58"/>
      <c r="AA89" s="2"/>
      <c r="AB89" s="2"/>
      <c r="AC89" s="2"/>
      <c r="AD89" s="58"/>
      <c r="AE89" s="58"/>
      <c r="AF89" s="2"/>
      <c r="AG89" s="2"/>
      <c r="AH89" s="2"/>
      <c r="AI89" s="59"/>
      <c r="AJ89" s="59"/>
      <c r="AK89" s="2"/>
      <c r="AL89" s="2"/>
      <c r="AM89" s="2"/>
      <c r="AN89" s="59"/>
      <c r="AO89" s="59"/>
      <c r="AP89" s="2"/>
      <c r="AQ89" s="2"/>
      <c r="AR89" s="2"/>
      <c r="AS89" s="60"/>
      <c r="AT89" s="60"/>
      <c r="AU89" s="2"/>
      <c r="AV89" s="2"/>
      <c r="AW89" s="2"/>
      <c r="AX89" s="60"/>
      <c r="AY89" s="60"/>
      <c r="AZ89" s="2"/>
      <c r="BA89" s="2"/>
      <c r="BB89" s="2"/>
      <c r="BC89" s="60"/>
      <c r="BD89" s="60"/>
      <c r="BE89" s="2"/>
      <c r="BF89" s="2"/>
      <c r="BG89" s="2"/>
      <c r="BH89" s="60"/>
      <c r="BI89" s="102"/>
      <c r="BJ89" s="2"/>
      <c r="BK89" s="2"/>
      <c r="BL89" s="2"/>
      <c r="BM89" s="102"/>
      <c r="BN89" s="102"/>
      <c r="BO89" s="2"/>
      <c r="BP89" s="2"/>
      <c r="BQ89" s="2"/>
      <c r="BR89" s="102"/>
      <c r="BS89" s="102"/>
      <c r="BT89" s="2"/>
      <c r="BU89" s="2"/>
      <c r="BV89" s="2"/>
      <c r="BW89" s="102"/>
      <c r="BX89" s="102"/>
      <c r="BY89" s="2"/>
      <c r="BZ89" s="2"/>
      <c r="CA89" s="2"/>
      <c r="CB89" s="102"/>
      <c r="CC89" s="182"/>
      <c r="CD89" s="2"/>
      <c r="CE89" s="2"/>
      <c r="CF89" s="2"/>
      <c r="CG89" s="102"/>
      <c r="CH89" s="90"/>
      <c r="CI89" s="182"/>
      <c r="CJ89" s="2"/>
      <c r="CK89" s="2"/>
      <c r="CL89" s="2"/>
      <c r="CM89" s="102"/>
      <c r="CN89" s="90"/>
      <c r="CO89" s="182"/>
      <c r="CP89" s="2"/>
      <c r="CQ89" s="2"/>
      <c r="CR89" s="2"/>
      <c r="CS89" s="102"/>
      <c r="CT89" s="59"/>
      <c r="CU89" s="3"/>
      <c r="CV89" s="2"/>
      <c r="CW89" s="2"/>
      <c r="CX89" s="2"/>
      <c r="CY89" s="102"/>
      <c r="CZ89" s="3"/>
      <c r="DA89" s="3"/>
    </row>
    <row r="90" spans="1:114" ht="12.75" customHeight="1">
      <c r="A90" s="517" t="s">
        <v>111</v>
      </c>
      <c r="B90" s="2"/>
      <c r="C90" s="2"/>
      <c r="E90" s="518" t="s">
        <v>224</v>
      </c>
      <c r="G90" s="2"/>
      <c r="H90" s="2"/>
      <c r="I90" s="2"/>
      <c r="J90" s="2"/>
      <c r="K90" s="2"/>
      <c r="L90" s="2"/>
      <c r="M90" s="2"/>
      <c r="N90" s="2"/>
      <c r="O90" s="60"/>
      <c r="P90" s="60"/>
      <c r="Q90" s="2"/>
      <c r="R90" s="2"/>
      <c r="S90" s="2"/>
      <c r="T90" s="60"/>
      <c r="U90" s="60"/>
      <c r="V90" s="2"/>
      <c r="W90" s="2"/>
      <c r="X90" s="2"/>
      <c r="Y90" s="58"/>
      <c r="Z90" s="58"/>
      <c r="AA90" s="2"/>
      <c r="AB90" s="2"/>
      <c r="AC90" s="2"/>
      <c r="AD90" s="58"/>
      <c r="AE90" s="58"/>
      <c r="AF90" s="2"/>
      <c r="AG90" s="2"/>
      <c r="AH90" s="2"/>
      <c r="AI90" s="59"/>
      <c r="AJ90" s="59"/>
      <c r="AK90" s="2"/>
      <c r="AL90" s="2"/>
      <c r="AM90" s="2"/>
      <c r="AN90" s="59"/>
      <c r="AO90" s="59"/>
      <c r="AP90" s="2"/>
      <c r="AQ90" s="2"/>
      <c r="AR90" s="2"/>
      <c r="AS90" s="60"/>
      <c r="AT90" s="60"/>
      <c r="AU90" s="2"/>
      <c r="AV90" s="2"/>
      <c r="AW90" s="2"/>
      <c r="AX90" s="60"/>
      <c r="AY90" s="60"/>
      <c r="AZ90" s="2"/>
      <c r="BA90" s="2"/>
      <c r="BB90" s="2"/>
      <c r="BC90" s="60"/>
      <c r="BD90" s="60"/>
      <c r="BE90" s="2"/>
      <c r="BF90" s="2"/>
      <c r="BG90" s="2"/>
      <c r="BH90" s="60"/>
      <c r="BI90" s="102"/>
      <c r="BJ90" s="2"/>
      <c r="BK90" s="2"/>
      <c r="BL90" s="2"/>
      <c r="BM90" s="102"/>
      <c r="BN90" s="102"/>
      <c r="BO90" s="2"/>
      <c r="BP90" s="2"/>
      <c r="BQ90" s="2"/>
      <c r="BR90" s="102"/>
      <c r="BS90" s="102"/>
      <c r="BT90" s="2"/>
      <c r="BU90" s="2"/>
      <c r="BV90" s="2"/>
      <c r="BW90" s="102"/>
      <c r="BX90" s="102"/>
      <c r="BY90" s="2"/>
      <c r="BZ90" s="2"/>
      <c r="CA90" s="2"/>
      <c r="CB90" s="102"/>
      <c r="CC90" s="182"/>
      <c r="CD90" s="2"/>
      <c r="CE90" s="2"/>
      <c r="CF90" s="2"/>
      <c r="CG90" s="102"/>
      <c r="CH90" s="90"/>
      <c r="CI90" s="182"/>
      <c r="CJ90" s="2"/>
      <c r="CK90" s="2"/>
      <c r="CL90" s="2"/>
      <c r="CM90" s="102"/>
      <c r="CN90" s="90"/>
      <c r="CO90" s="182"/>
      <c r="CP90" s="2"/>
      <c r="CQ90" s="2"/>
      <c r="CR90" s="2"/>
      <c r="CS90" s="102"/>
      <c r="CT90" s="59"/>
      <c r="CU90" s="3"/>
      <c r="CV90" s="2"/>
      <c r="CW90" s="2"/>
      <c r="CX90" s="2"/>
      <c r="CY90" s="102"/>
      <c r="CZ90" s="3"/>
      <c r="DA90" s="3"/>
    </row>
    <row r="91" spans="1:114" ht="12.75" customHeight="1">
      <c r="A91" s="13"/>
      <c r="B91" s="2"/>
      <c r="C91" s="2"/>
      <c r="D91" s="104"/>
      <c r="E91" s="4"/>
      <c r="F91" s="4"/>
      <c r="G91" s="2"/>
      <c r="H91" s="2"/>
      <c r="I91" s="2"/>
      <c r="J91" s="2"/>
      <c r="K91" s="2"/>
      <c r="L91" s="2"/>
      <c r="M91" s="2"/>
      <c r="N91" s="2"/>
      <c r="O91" s="60"/>
      <c r="P91" s="60"/>
      <c r="Q91" s="2"/>
      <c r="R91" s="2"/>
      <c r="S91" s="2"/>
      <c r="T91" s="60"/>
      <c r="U91" s="60"/>
      <c r="V91" s="2"/>
      <c r="W91" s="2"/>
      <c r="X91" s="2"/>
      <c r="Y91" s="58"/>
      <c r="Z91" s="58"/>
      <c r="AA91" s="2"/>
      <c r="AB91" s="2"/>
      <c r="AC91" s="2"/>
      <c r="AD91" s="58"/>
      <c r="AE91" s="58"/>
      <c r="AF91" s="2"/>
      <c r="AG91" s="2"/>
      <c r="AH91" s="2"/>
      <c r="AI91" s="59"/>
      <c r="AJ91" s="59"/>
      <c r="AK91" s="2"/>
      <c r="AL91" s="2"/>
      <c r="AM91" s="2"/>
      <c r="AN91" s="59"/>
      <c r="AO91" s="59"/>
      <c r="AP91" s="2"/>
      <c r="AQ91" s="2"/>
      <c r="AR91" s="2"/>
      <c r="AS91" s="60"/>
      <c r="AT91" s="60"/>
      <c r="AU91" s="2"/>
      <c r="AV91" s="2"/>
      <c r="AW91" s="2"/>
      <c r="AX91" s="60"/>
      <c r="AY91" s="60"/>
      <c r="AZ91" s="2"/>
      <c r="BA91" s="2"/>
      <c r="BB91" s="2"/>
      <c r="BC91" s="60"/>
      <c r="BD91" s="60"/>
      <c r="BE91" s="2"/>
      <c r="BF91" s="2"/>
      <c r="BG91" s="2"/>
      <c r="BH91" s="60"/>
      <c r="BI91" s="102"/>
      <c r="BJ91" s="2"/>
      <c r="BK91" s="2"/>
      <c r="BL91" s="2"/>
      <c r="BM91" s="102"/>
      <c r="BN91" s="102"/>
      <c r="BO91" s="2"/>
      <c r="BP91" s="2"/>
      <c r="BQ91" s="2"/>
      <c r="BR91" s="102"/>
      <c r="BS91" s="102"/>
      <c r="BT91" s="2"/>
      <c r="BU91" s="2"/>
      <c r="BV91" s="2"/>
      <c r="BW91" s="102"/>
      <c r="BX91" s="102"/>
      <c r="BY91" s="2"/>
      <c r="BZ91" s="2"/>
      <c r="CA91" s="2"/>
      <c r="CB91" s="102"/>
      <c r="CC91" s="182"/>
      <c r="CD91" s="2"/>
      <c r="CE91" s="2"/>
      <c r="CF91" s="2"/>
      <c r="CG91" s="102"/>
      <c r="CH91" s="90"/>
      <c r="CI91" s="182"/>
      <c r="CJ91" s="2"/>
      <c r="CK91" s="2"/>
      <c r="CL91" s="2"/>
      <c r="CM91" s="102"/>
      <c r="CN91" s="90"/>
      <c r="CO91" s="182"/>
      <c r="CP91" s="2"/>
      <c r="CQ91" s="2"/>
      <c r="CR91" s="2"/>
      <c r="CS91" s="102"/>
      <c r="CT91" s="59"/>
      <c r="CU91" s="3"/>
      <c r="CV91" s="2"/>
      <c r="CW91" s="2"/>
      <c r="CX91" s="2"/>
      <c r="CY91" s="102"/>
      <c r="CZ91" s="3"/>
      <c r="DA91" s="3"/>
    </row>
    <row r="92" spans="1:114" ht="12.75" customHeight="1">
      <c r="A92" s="13"/>
      <c r="B92" s="2"/>
      <c r="C92" s="2"/>
      <c r="D92" s="104"/>
      <c r="E92" s="4"/>
      <c r="F92" s="4"/>
      <c r="G92" s="2"/>
      <c r="H92" s="2"/>
      <c r="I92" s="2"/>
      <c r="J92" s="2"/>
      <c r="K92" s="2"/>
      <c r="L92" s="2"/>
      <c r="M92" s="2"/>
      <c r="N92" s="2"/>
      <c r="O92" s="60"/>
      <c r="P92" s="60"/>
      <c r="Q92" s="2"/>
      <c r="R92" s="2"/>
      <c r="S92" s="2"/>
      <c r="T92" s="60"/>
      <c r="U92" s="60"/>
      <c r="V92" s="2"/>
      <c r="W92" s="2"/>
      <c r="X92" s="2"/>
      <c r="Y92" s="58"/>
      <c r="Z92" s="58"/>
      <c r="AA92" s="2"/>
      <c r="AB92" s="2"/>
      <c r="AC92" s="2"/>
      <c r="AD92" s="58"/>
      <c r="AE92" s="58"/>
      <c r="AF92" s="2"/>
      <c r="AG92" s="2"/>
      <c r="AH92" s="2"/>
      <c r="AI92" s="59"/>
      <c r="AJ92" s="59"/>
      <c r="AK92" s="2"/>
      <c r="AL92" s="2"/>
      <c r="AM92" s="2"/>
      <c r="AN92" s="59"/>
      <c r="AO92" s="59"/>
      <c r="AP92" s="2"/>
      <c r="AQ92" s="2"/>
      <c r="AR92" s="2"/>
      <c r="AS92" s="60"/>
      <c r="AT92" s="60"/>
      <c r="AU92" s="2"/>
      <c r="AV92" s="2"/>
      <c r="AW92" s="2"/>
      <c r="AX92" s="60"/>
      <c r="AY92" s="60"/>
      <c r="AZ92" s="2"/>
      <c r="BA92" s="2"/>
      <c r="BB92" s="2"/>
      <c r="BC92" s="60"/>
      <c r="BD92" s="60"/>
      <c r="BE92" s="2"/>
      <c r="BF92" s="2"/>
      <c r="BG92" s="2"/>
      <c r="BH92" s="60"/>
      <c r="BI92" s="102"/>
      <c r="BJ92" s="2"/>
      <c r="BK92" s="2"/>
      <c r="BL92" s="2"/>
      <c r="BM92" s="102"/>
      <c r="BN92" s="102"/>
      <c r="BO92" s="2"/>
      <c r="BP92" s="2"/>
      <c r="BQ92" s="2"/>
      <c r="BR92" s="102"/>
      <c r="BS92" s="102"/>
      <c r="BT92" s="2"/>
      <c r="BU92" s="2"/>
      <c r="BV92" s="2"/>
      <c r="BW92" s="102"/>
      <c r="BX92" s="102"/>
      <c r="BY92" s="2"/>
      <c r="BZ92" s="2"/>
      <c r="CA92" s="2"/>
      <c r="CB92" s="102"/>
      <c r="CC92" s="182"/>
      <c r="CD92" s="2"/>
      <c r="CE92" s="2"/>
      <c r="CF92" s="2"/>
      <c r="CG92" s="102"/>
      <c r="CH92" s="90"/>
      <c r="CI92" s="182"/>
      <c r="CJ92" s="2"/>
      <c r="CK92" s="2"/>
      <c r="CL92" s="2"/>
      <c r="CM92" s="102"/>
      <c r="CN92" s="90"/>
      <c r="CO92" s="182"/>
      <c r="CP92" s="2"/>
      <c r="CQ92" s="2"/>
      <c r="CR92" s="2"/>
      <c r="CS92" s="102"/>
      <c r="CT92" s="59"/>
      <c r="CU92" s="3"/>
      <c r="CV92" s="2"/>
      <c r="CW92" s="2"/>
      <c r="CX92" s="2"/>
      <c r="CY92" s="102"/>
      <c r="CZ92" s="3"/>
      <c r="DA92" s="3"/>
    </row>
    <row r="93" spans="1:114" ht="15.75" customHeight="1">
      <c r="A93" s="105"/>
      <c r="B93" s="484" t="s">
        <v>112</v>
      </c>
      <c r="C93" s="34"/>
      <c r="D93" s="106"/>
      <c r="E93" s="165"/>
      <c r="F93" s="165"/>
      <c r="G93" s="34"/>
      <c r="H93" s="34"/>
      <c r="I93" s="34"/>
      <c r="J93" s="34"/>
      <c r="K93" s="34"/>
      <c r="L93" s="34"/>
      <c r="M93" s="34"/>
      <c r="N93" s="34"/>
      <c r="O93" s="107"/>
      <c r="P93" s="107"/>
      <c r="Q93" s="34"/>
      <c r="R93" s="34"/>
      <c r="S93" s="34"/>
      <c r="T93" s="107"/>
      <c r="U93" s="107"/>
      <c r="V93" s="34"/>
      <c r="W93" s="34"/>
      <c r="X93" s="34"/>
      <c r="Y93" s="108"/>
      <c r="Z93" s="108"/>
      <c r="AA93" s="34"/>
      <c r="AB93" s="34"/>
      <c r="AC93" s="34"/>
      <c r="AD93" s="108"/>
      <c r="AE93" s="108"/>
      <c r="AF93" s="34"/>
      <c r="AG93" s="34"/>
      <c r="AH93" s="34"/>
      <c r="AI93" s="109"/>
      <c r="AJ93" s="109"/>
      <c r="AK93" s="34"/>
      <c r="AL93" s="34"/>
      <c r="AM93" s="34"/>
      <c r="AN93" s="109"/>
      <c r="AO93" s="109"/>
      <c r="AP93" s="34"/>
      <c r="AQ93" s="34"/>
      <c r="AR93" s="34"/>
      <c r="AS93" s="107"/>
      <c r="AT93" s="107"/>
      <c r="AU93" s="34"/>
      <c r="AV93" s="34"/>
      <c r="AW93" s="34"/>
      <c r="AX93" s="107"/>
      <c r="AY93" s="107"/>
      <c r="AZ93" s="34"/>
      <c r="BA93" s="34"/>
      <c r="BB93" s="34"/>
      <c r="BC93" s="107"/>
      <c r="BD93" s="107"/>
      <c r="BE93" s="34"/>
      <c r="BF93" s="34"/>
      <c r="BG93" s="34"/>
      <c r="BH93" s="107"/>
      <c r="BI93" s="183"/>
      <c r="BJ93" s="34"/>
      <c r="BK93" s="34"/>
      <c r="BL93" s="34"/>
      <c r="BM93" s="183"/>
      <c r="BN93" s="183"/>
      <c r="BO93" s="34"/>
      <c r="BP93" s="34"/>
      <c r="BQ93" s="34"/>
      <c r="BR93" s="183"/>
      <c r="BS93" s="183"/>
      <c r="BT93" s="34"/>
      <c r="BU93" s="34"/>
      <c r="BV93" s="34"/>
      <c r="BW93" s="183"/>
      <c r="BX93" s="183"/>
      <c r="BY93" s="34"/>
      <c r="BZ93" s="34"/>
      <c r="CA93" s="34"/>
      <c r="CB93" s="183"/>
      <c r="CC93" s="182"/>
      <c r="CD93" s="34"/>
      <c r="CE93" s="34"/>
      <c r="CF93" s="34"/>
      <c r="CG93" s="183"/>
      <c r="CH93" s="184"/>
      <c r="CI93" s="182"/>
      <c r="CJ93" s="34"/>
      <c r="CK93" s="34"/>
      <c r="CL93" s="34"/>
      <c r="CM93" s="183"/>
      <c r="CN93" s="184"/>
      <c r="CO93" s="182"/>
      <c r="CP93" s="34"/>
      <c r="CQ93" s="34"/>
      <c r="CR93" s="34"/>
      <c r="CS93" s="183"/>
      <c r="CT93" s="35"/>
      <c r="CV93" s="34"/>
      <c r="CW93" s="34"/>
      <c r="CX93" s="34"/>
      <c r="CY93" s="183"/>
    </row>
    <row r="94" spans="1:114" ht="18">
      <c r="A94" s="105"/>
      <c r="B94" s="171" t="s">
        <v>233</v>
      </c>
      <c r="C94" s="34"/>
      <c r="D94" s="106"/>
      <c r="E94" s="165"/>
      <c r="F94" s="165"/>
      <c r="G94" s="34"/>
      <c r="H94" s="34"/>
      <c r="I94" s="34"/>
      <c r="J94" s="34"/>
      <c r="K94" s="34"/>
      <c r="L94" s="34"/>
      <c r="M94" s="34"/>
      <c r="N94" s="34"/>
      <c r="O94" s="107"/>
      <c r="P94" s="108"/>
      <c r="Q94" s="34"/>
      <c r="R94" s="34"/>
      <c r="S94" s="34"/>
      <c r="T94" s="108"/>
      <c r="U94" s="109"/>
      <c r="V94" s="34"/>
      <c r="W94" s="34"/>
      <c r="X94" s="34"/>
      <c r="Y94" s="109"/>
      <c r="Z94" s="183"/>
      <c r="AA94" s="34"/>
      <c r="AB94" s="34"/>
      <c r="AC94" s="34"/>
      <c r="AD94" s="183"/>
      <c r="AE94" s="183"/>
      <c r="AF94" s="34"/>
      <c r="AG94" s="34"/>
      <c r="AH94" s="34"/>
      <c r="AI94" s="184"/>
      <c r="AJ94" s="182"/>
      <c r="AK94" s="34"/>
      <c r="AL94" s="34"/>
      <c r="AM94" s="34"/>
      <c r="AN94" s="109"/>
      <c r="AO94" s="35"/>
      <c r="AP94" s="34"/>
      <c r="AQ94" s="34"/>
      <c r="AR94" s="34"/>
      <c r="AS94" s="35"/>
      <c r="AT94" s="35"/>
      <c r="AU94" s="34"/>
      <c r="AV94" s="34"/>
      <c r="AW94" s="34"/>
      <c r="AZ94" s="34"/>
      <c r="BA94" s="34"/>
      <c r="BB94" s="34"/>
      <c r="BE94" s="34"/>
      <c r="BF94" s="34"/>
      <c r="BG94" s="34"/>
      <c r="BJ94" s="34"/>
      <c r="BK94" s="34"/>
      <c r="BL94" s="34"/>
      <c r="BO94" s="34"/>
      <c r="BP94" s="34"/>
      <c r="BQ94" s="34"/>
      <c r="BT94" s="34"/>
      <c r="BU94" s="34"/>
      <c r="BV94" s="34"/>
      <c r="BY94" s="34"/>
      <c r="BZ94" s="34"/>
      <c r="CA94" s="34"/>
      <c r="CD94" s="34"/>
      <c r="CE94" s="34"/>
      <c r="CF94" s="34"/>
      <c r="CJ94" s="34"/>
      <c r="CK94" s="34"/>
      <c r="CL94" s="34"/>
      <c r="CP94" s="34"/>
      <c r="CQ94" s="34"/>
      <c r="CR94" s="34"/>
      <c r="CV94" s="34"/>
      <c r="CW94" s="34"/>
      <c r="CX94" s="34"/>
    </row>
    <row r="95" spans="1:114" s="292" customFormat="1" ht="18.75">
      <c r="A95" s="490"/>
      <c r="B95" s="488" t="s">
        <v>262</v>
      </c>
      <c r="C95" s="488"/>
      <c r="D95" s="487"/>
      <c r="E95" s="491"/>
      <c r="F95" s="491"/>
      <c r="G95" s="488"/>
      <c r="H95" s="488"/>
      <c r="I95" s="488"/>
      <c r="J95" s="488"/>
      <c r="K95" s="488"/>
      <c r="L95" s="488"/>
      <c r="M95" s="488"/>
      <c r="N95" s="488"/>
      <c r="O95" s="492"/>
      <c r="P95" s="492"/>
      <c r="Q95" s="488"/>
      <c r="R95" s="488"/>
      <c r="S95" s="488"/>
      <c r="T95" s="492"/>
      <c r="U95" s="492"/>
      <c r="V95" s="488"/>
      <c r="W95" s="488"/>
      <c r="X95" s="488"/>
      <c r="Y95" s="493"/>
      <c r="Z95" s="493"/>
      <c r="AA95" s="488"/>
      <c r="AB95" s="488"/>
      <c r="AC95" s="488"/>
      <c r="AD95" s="493"/>
      <c r="AE95" s="493"/>
      <c r="AF95" s="488"/>
      <c r="AG95" s="488"/>
      <c r="AH95" s="488"/>
      <c r="AI95" s="494"/>
      <c r="AJ95" s="494"/>
      <c r="AK95" s="488"/>
      <c r="AL95" s="488"/>
      <c r="AM95" s="488"/>
      <c r="AN95" s="494"/>
      <c r="AO95" s="494"/>
      <c r="AP95" s="488"/>
      <c r="AQ95" s="488"/>
      <c r="AR95" s="488"/>
      <c r="AS95" s="492"/>
      <c r="AT95" s="492"/>
      <c r="AU95" s="488"/>
      <c r="AV95" s="488"/>
      <c r="AW95" s="488"/>
      <c r="AX95" s="492"/>
      <c r="AY95" s="492"/>
      <c r="AZ95" s="488"/>
      <c r="BA95" s="488"/>
      <c r="BB95" s="488"/>
      <c r="BC95" s="492"/>
      <c r="BD95" s="492"/>
      <c r="BE95" s="488"/>
      <c r="BF95" s="488"/>
      <c r="BG95" s="488"/>
      <c r="BH95" s="492"/>
      <c r="BI95" s="492"/>
      <c r="BJ95" s="488"/>
      <c r="BK95" s="488"/>
      <c r="BL95" s="488"/>
      <c r="BM95" s="495"/>
      <c r="BN95" s="495"/>
      <c r="BO95" s="488"/>
      <c r="BP95" s="488"/>
      <c r="BQ95" s="488"/>
      <c r="BR95" s="495"/>
      <c r="BS95" s="495"/>
      <c r="BT95" s="488"/>
      <c r="BU95" s="488"/>
      <c r="BV95" s="488"/>
      <c r="BW95" s="495"/>
      <c r="BX95" s="495"/>
      <c r="BY95" s="488"/>
      <c r="BZ95" s="488"/>
      <c r="CA95" s="488"/>
      <c r="CB95" s="495"/>
      <c r="CC95" s="496"/>
      <c r="CD95" s="488"/>
      <c r="CE95" s="488"/>
      <c r="CF95" s="488"/>
      <c r="CG95" s="495"/>
      <c r="CH95" s="497"/>
      <c r="CI95" s="496"/>
      <c r="CJ95" s="488"/>
      <c r="CK95" s="488"/>
      <c r="CL95" s="488"/>
      <c r="CM95" s="495"/>
      <c r="CN95" s="497"/>
      <c r="CO95" s="494"/>
      <c r="CP95" s="488"/>
      <c r="CQ95" s="488"/>
      <c r="CR95" s="488"/>
      <c r="CS95" s="495"/>
      <c r="CT95" s="498"/>
      <c r="CU95" s="498"/>
      <c r="CV95" s="488"/>
      <c r="CW95" s="488"/>
      <c r="CX95" s="488"/>
      <c r="CY95" s="495"/>
      <c r="CZ95" s="498"/>
    </row>
    <row r="96" spans="1:114" ht="18">
      <c r="A96" s="13"/>
      <c r="B96" s="485" t="s">
        <v>113</v>
      </c>
      <c r="C96" s="2"/>
      <c r="D96" s="104"/>
      <c r="E96" s="4"/>
      <c r="F96" s="4"/>
      <c r="G96" s="2"/>
      <c r="H96" s="2"/>
      <c r="I96" s="2"/>
      <c r="J96" s="2"/>
      <c r="K96" s="2"/>
      <c r="L96" s="2"/>
      <c r="M96" s="2"/>
      <c r="N96" s="2"/>
      <c r="O96" s="60"/>
      <c r="P96" s="58"/>
      <c r="Q96" s="2"/>
      <c r="R96" s="2"/>
      <c r="S96" s="2"/>
      <c r="T96" s="58"/>
      <c r="U96" s="59"/>
      <c r="V96" s="2"/>
      <c r="W96" s="2"/>
      <c r="X96" s="2"/>
      <c r="Y96" s="59"/>
      <c r="Z96" s="60"/>
      <c r="AA96" s="2"/>
      <c r="AB96" s="2"/>
      <c r="AC96" s="2"/>
      <c r="AD96" s="60"/>
      <c r="AE96" s="60"/>
      <c r="AF96" s="2"/>
      <c r="AG96" s="2"/>
      <c r="AH96" s="2"/>
      <c r="AI96" s="59"/>
      <c r="AJ96" s="127"/>
      <c r="AK96" s="2"/>
      <c r="AL96" s="2"/>
      <c r="AM96" s="2"/>
      <c r="AN96" s="59"/>
      <c r="AO96" s="3"/>
      <c r="AP96" s="2"/>
      <c r="AQ96" s="2"/>
      <c r="AR96" s="2"/>
      <c r="AS96" s="3"/>
      <c r="AT96" s="3"/>
      <c r="AU96" s="2"/>
      <c r="AV96" s="2"/>
      <c r="AW96" s="2"/>
      <c r="AZ96" s="2"/>
      <c r="BA96" s="2"/>
      <c r="BB96" s="2"/>
      <c r="BE96" s="2"/>
      <c r="BF96" s="2"/>
      <c r="BG96" s="2"/>
      <c r="BJ96" s="2"/>
      <c r="BK96" s="2"/>
      <c r="BL96" s="2"/>
      <c r="BO96" s="2"/>
      <c r="BP96" s="2"/>
      <c r="BQ96" s="2"/>
      <c r="BT96" s="2"/>
      <c r="BU96" s="2"/>
      <c r="BV96" s="2"/>
      <c r="BY96" s="2"/>
      <c r="BZ96" s="2"/>
      <c r="CA96" s="2"/>
      <c r="CD96" s="2"/>
      <c r="CE96" s="2"/>
      <c r="CF96" s="2"/>
      <c r="CJ96" s="2"/>
      <c r="CK96" s="2"/>
      <c r="CL96" s="2"/>
      <c r="CP96" s="2"/>
      <c r="CQ96" s="2"/>
      <c r="CR96" s="2"/>
      <c r="CV96" s="2"/>
      <c r="CW96" s="2"/>
      <c r="CX96" s="2"/>
    </row>
    <row r="97" spans="1:125" ht="18">
      <c r="A97" s="13"/>
      <c r="B97" s="486" t="s">
        <v>234</v>
      </c>
      <c r="C97" s="2"/>
      <c r="D97" s="104"/>
      <c r="E97" s="4"/>
      <c r="F97" s="4"/>
      <c r="G97" s="2"/>
      <c r="H97" s="2"/>
      <c r="I97" s="2"/>
      <c r="J97" s="2"/>
      <c r="K97" s="2"/>
      <c r="L97" s="2"/>
      <c r="M97" s="2"/>
      <c r="N97" s="2"/>
      <c r="O97" s="60"/>
      <c r="P97" s="58"/>
      <c r="Q97" s="2"/>
      <c r="R97" s="2"/>
      <c r="S97" s="2"/>
      <c r="T97" s="58"/>
      <c r="U97" s="59"/>
      <c r="V97" s="2"/>
      <c r="W97" s="2"/>
      <c r="X97" s="2"/>
      <c r="Y97" s="59"/>
      <c r="Z97" s="60"/>
      <c r="AA97" s="2"/>
      <c r="AB97" s="2"/>
      <c r="AC97" s="2"/>
      <c r="AD97" s="60"/>
      <c r="AE97" s="60"/>
      <c r="AF97" s="2"/>
      <c r="AG97" s="2"/>
      <c r="AH97" s="2"/>
      <c r="AI97" s="59"/>
      <c r="AJ97" s="125"/>
      <c r="AK97" s="2"/>
      <c r="AL97" s="2"/>
      <c r="AM97" s="2"/>
      <c r="AN97" s="59"/>
      <c r="AO97" s="3"/>
      <c r="AP97" s="2"/>
      <c r="AQ97" s="2"/>
      <c r="AR97" s="2"/>
      <c r="AS97" s="3"/>
      <c r="AT97" s="3"/>
      <c r="AU97" s="2"/>
      <c r="AV97" s="2"/>
      <c r="AW97" s="2"/>
      <c r="AZ97" s="2"/>
      <c r="BA97" s="2"/>
      <c r="BB97" s="2"/>
      <c r="BE97" s="2"/>
      <c r="BF97" s="2"/>
      <c r="BG97" s="2"/>
      <c r="BJ97" s="2"/>
      <c r="BK97" s="2"/>
      <c r="BL97" s="2"/>
      <c r="BO97" s="2"/>
      <c r="BP97" s="2"/>
      <c r="BQ97" s="2"/>
      <c r="BT97" s="2"/>
      <c r="BU97" s="2"/>
      <c r="BV97" s="2"/>
      <c r="BY97" s="2"/>
      <c r="BZ97" s="2"/>
      <c r="CA97" s="2"/>
      <c r="CD97" s="2"/>
      <c r="CE97" s="2"/>
      <c r="CF97" s="2"/>
      <c r="CJ97" s="2"/>
      <c r="CK97" s="2"/>
      <c r="CL97" s="2"/>
      <c r="CP97" s="2"/>
      <c r="CQ97" s="2"/>
      <c r="CR97" s="2"/>
      <c r="CV97" s="2"/>
      <c r="CW97" s="2"/>
      <c r="CX97" s="2"/>
    </row>
    <row r="98" spans="1:125" s="292" customFormat="1" ht="26.25" customHeight="1">
      <c r="A98" s="174"/>
      <c r="B98" s="204" t="s">
        <v>361</v>
      </c>
      <c r="C98" s="174"/>
      <c r="D98" s="205"/>
      <c r="E98" s="175"/>
      <c r="F98" s="175"/>
      <c r="G98" s="174"/>
      <c r="H98" s="174"/>
      <c r="I98" s="174"/>
      <c r="J98" s="174"/>
      <c r="K98" s="174"/>
      <c r="L98" s="174"/>
      <c r="M98" s="174"/>
      <c r="N98" s="174"/>
      <c r="O98" s="206"/>
      <c r="P98" s="207"/>
      <c r="Q98" s="174"/>
      <c r="R98" s="174"/>
      <c r="S98" s="174"/>
      <c r="T98" s="207"/>
      <c r="U98" s="208"/>
      <c r="V98" s="174"/>
      <c r="W98" s="174"/>
      <c r="X98" s="174"/>
      <c r="Y98" s="208"/>
      <c r="Z98" s="206"/>
      <c r="AA98" s="174"/>
      <c r="AB98" s="174"/>
      <c r="AC98" s="174"/>
      <c r="AD98" s="206"/>
      <c r="AE98" s="206"/>
      <c r="AF98" s="174"/>
      <c r="AG98" s="174"/>
      <c r="AH98" s="174"/>
      <c r="AI98" s="208"/>
      <c r="AJ98" s="209"/>
      <c r="AK98" s="174"/>
      <c r="AL98" s="174"/>
      <c r="AM98" s="174"/>
      <c r="AN98" s="208"/>
      <c r="AO98" s="205"/>
      <c r="AP98" s="174"/>
      <c r="AQ98" s="174"/>
      <c r="AR98" s="174"/>
      <c r="AS98" s="205"/>
      <c r="AT98" s="205"/>
      <c r="AU98" s="174"/>
      <c r="AV98" s="174"/>
      <c r="AW98" s="174"/>
      <c r="AZ98" s="174"/>
      <c r="BA98" s="174"/>
      <c r="BB98" s="174"/>
      <c r="BE98" s="174"/>
      <c r="BF98" s="174"/>
      <c r="BG98" s="174"/>
      <c r="BJ98" s="174"/>
      <c r="BK98" s="174"/>
      <c r="BL98" s="174"/>
      <c r="BO98" s="174"/>
      <c r="BP98" s="174"/>
      <c r="BQ98" s="174"/>
      <c r="BT98" s="174"/>
      <c r="BU98" s="174"/>
      <c r="BV98" s="174"/>
      <c r="BY98" s="174"/>
      <c r="BZ98" s="174"/>
      <c r="CA98" s="174"/>
      <c r="CD98" s="174"/>
      <c r="CE98" s="174"/>
      <c r="CF98" s="174"/>
      <c r="CJ98" s="174"/>
      <c r="CK98" s="174"/>
      <c r="CL98" s="174"/>
      <c r="CP98" s="174"/>
      <c r="CQ98" s="174"/>
      <c r="CR98" s="174"/>
      <c r="CV98" s="174"/>
      <c r="CW98" s="174"/>
      <c r="CX98" s="174"/>
    </row>
    <row r="99" spans="1:125" s="292" customFormat="1" ht="64.5" customHeight="1">
      <c r="A99" s="174"/>
      <c r="B99" s="1708" t="s">
        <v>114</v>
      </c>
      <c r="C99" s="1708"/>
      <c r="D99" s="1708"/>
      <c r="E99" s="1708"/>
      <c r="F99" s="1708"/>
      <c r="G99" s="1708"/>
      <c r="H99" s="1708"/>
      <c r="I99" s="1708"/>
      <c r="J99" s="1708"/>
      <c r="K99" s="1708"/>
      <c r="L99" s="1708"/>
      <c r="M99" s="1708"/>
      <c r="N99" s="1708"/>
      <c r="O99" s="1708"/>
      <c r="P99" s="1708"/>
      <c r="Q99" s="1708"/>
      <c r="R99" s="1708"/>
      <c r="S99" s="1708"/>
      <c r="T99" s="1708"/>
      <c r="U99" s="1708"/>
      <c r="V99" s="1708"/>
      <c r="W99" s="1708"/>
      <c r="X99" s="1708"/>
      <c r="Y99" s="1708"/>
      <c r="Z99" s="1708"/>
      <c r="AA99" s="1708"/>
      <c r="AB99" s="1708"/>
      <c r="AC99" s="1708"/>
      <c r="AD99" s="1708"/>
      <c r="AE99" s="1708"/>
      <c r="AF99" s="1708"/>
      <c r="AG99" s="1708"/>
      <c r="AH99" s="1708"/>
      <c r="AI99" s="1708"/>
      <c r="AJ99" s="1708"/>
      <c r="AK99" s="1708"/>
      <c r="AL99" s="1708"/>
      <c r="AM99" s="1708"/>
      <c r="AN99" s="1708"/>
      <c r="AO99" s="1708"/>
      <c r="AP99" s="1708"/>
      <c r="AQ99" s="1708"/>
      <c r="AR99" s="1708"/>
      <c r="AS99" s="1708"/>
      <c r="AT99" s="1708"/>
      <c r="AU99" s="1708"/>
      <c r="AV99" s="1708"/>
      <c r="AW99" s="1708"/>
      <c r="AX99" s="1708"/>
      <c r="AY99" s="1708"/>
      <c r="AZ99" s="1708"/>
      <c r="BA99" s="1708"/>
      <c r="BB99" s="1708"/>
      <c r="BC99" s="1708"/>
      <c r="BD99" s="1708"/>
      <c r="BE99" s="1708"/>
      <c r="BF99" s="1708"/>
      <c r="BG99" s="1708"/>
      <c r="BH99" s="1708"/>
      <c r="BI99" s="1708"/>
      <c r="BJ99" s="1708"/>
      <c r="BK99" s="1708"/>
      <c r="BL99" s="1708"/>
      <c r="BM99" s="1708"/>
      <c r="BN99" s="1708"/>
      <c r="BO99" s="1708"/>
      <c r="BP99" s="1708"/>
      <c r="BQ99" s="1708"/>
      <c r="BR99" s="1708"/>
      <c r="BS99" s="1708"/>
      <c r="BT99" s="1708"/>
      <c r="BU99" s="1708"/>
      <c r="BV99" s="1708"/>
      <c r="BW99" s="1708"/>
      <c r="BX99" s="1708"/>
      <c r="BY99" s="1708"/>
      <c r="BZ99" s="1708"/>
      <c r="CA99" s="1708"/>
      <c r="CB99" s="1708"/>
      <c r="CC99" s="1708"/>
      <c r="CD99" s="1708"/>
      <c r="CE99" s="1708"/>
      <c r="CF99" s="1708"/>
      <c r="CG99" s="1708"/>
      <c r="CH99" s="1708"/>
    </row>
    <row r="100" spans="1:125" s="292" customFormat="1" ht="18.75">
      <c r="A100" s="174"/>
      <c r="B100" s="1708" t="s">
        <v>115</v>
      </c>
      <c r="C100" s="1708"/>
      <c r="D100" s="1708"/>
      <c r="E100" s="1708"/>
      <c r="F100" s="1708"/>
      <c r="G100" s="1708"/>
      <c r="H100" s="1708"/>
      <c r="I100" s="1708"/>
      <c r="J100" s="1708"/>
      <c r="K100" s="1708"/>
      <c r="L100" s="1708"/>
      <c r="M100" s="1708"/>
      <c r="N100" s="1708"/>
      <c r="O100" s="1708"/>
      <c r="P100" s="1708"/>
      <c r="Q100" s="1708"/>
      <c r="R100" s="1708"/>
      <c r="S100" s="1708"/>
      <c r="T100" s="1708"/>
      <c r="U100" s="1708"/>
      <c r="V100" s="1708"/>
      <c r="W100" s="1708"/>
      <c r="X100" s="1708"/>
      <c r="Y100" s="1708"/>
      <c r="Z100" s="1708"/>
      <c r="AA100" s="1708"/>
      <c r="AB100" s="1708"/>
      <c r="AC100" s="1708"/>
      <c r="AD100" s="1708"/>
      <c r="AE100" s="1708"/>
      <c r="AF100" s="1708"/>
      <c r="AG100" s="1708"/>
      <c r="AH100" s="1708"/>
      <c r="AI100" s="1708"/>
      <c r="AJ100" s="1708"/>
      <c r="AK100" s="951"/>
      <c r="AL100" s="951"/>
      <c r="AM100" s="951"/>
      <c r="AN100" s="951"/>
      <c r="AO100" s="205"/>
      <c r="AP100" s="951"/>
      <c r="AQ100" s="951"/>
      <c r="AR100" s="951"/>
      <c r="AS100" s="205"/>
      <c r="AT100" s="205"/>
      <c r="AU100" s="951"/>
      <c r="AV100" s="951"/>
      <c r="AW100" s="951"/>
      <c r="AZ100" s="951"/>
      <c r="BA100" s="951"/>
      <c r="BB100" s="951"/>
      <c r="BE100" s="951"/>
      <c r="BF100" s="951"/>
      <c r="BG100" s="951"/>
      <c r="BJ100" s="951"/>
      <c r="BK100" s="951"/>
      <c r="BL100" s="951"/>
      <c r="BO100" s="951"/>
      <c r="BP100" s="951"/>
      <c r="BQ100" s="951"/>
      <c r="BT100" s="951"/>
      <c r="BU100" s="951"/>
      <c r="BV100" s="951"/>
      <c r="BY100" s="951"/>
      <c r="BZ100" s="951"/>
      <c r="CA100" s="951"/>
      <c r="CD100" s="951"/>
      <c r="CE100" s="951"/>
      <c r="CF100" s="951"/>
      <c r="CJ100" s="951"/>
      <c r="CK100" s="951"/>
      <c r="CL100" s="951"/>
      <c r="CP100" s="951"/>
      <c r="CQ100" s="951"/>
      <c r="CR100" s="951"/>
      <c r="CV100" s="951"/>
      <c r="CW100" s="951"/>
      <c r="CX100" s="951"/>
    </row>
    <row r="101" spans="1:125" s="292" customFormat="1" ht="18.75">
      <c r="A101" s="174"/>
      <c r="B101" s="204" t="s">
        <v>116</v>
      </c>
      <c r="C101" s="951"/>
      <c r="D101" s="951"/>
      <c r="E101" s="951"/>
      <c r="F101" s="951"/>
      <c r="G101" s="951"/>
      <c r="H101" s="951"/>
      <c r="I101" s="951"/>
      <c r="J101" s="951"/>
      <c r="K101" s="951"/>
      <c r="L101" s="951"/>
      <c r="M101" s="951"/>
      <c r="N101" s="951"/>
      <c r="O101" s="210"/>
      <c r="P101" s="210"/>
      <c r="Q101" s="951"/>
      <c r="R101" s="951"/>
      <c r="S101" s="951"/>
      <c r="T101" s="210"/>
      <c r="U101" s="210"/>
      <c r="V101" s="951"/>
      <c r="W101" s="951"/>
      <c r="X101" s="951"/>
      <c r="Y101" s="210"/>
      <c r="Z101" s="210"/>
      <c r="AA101" s="951"/>
      <c r="AB101" s="951"/>
      <c r="AC101" s="951"/>
      <c r="AD101" s="210"/>
      <c r="AE101" s="210"/>
      <c r="AF101" s="951"/>
      <c r="AG101" s="951"/>
      <c r="AH101" s="951"/>
      <c r="AI101" s="210"/>
      <c r="AJ101" s="211"/>
      <c r="AK101" s="951"/>
      <c r="AL101" s="951"/>
      <c r="AM101" s="951"/>
      <c r="AN101" s="210"/>
      <c r="AO101" s="212"/>
      <c r="AP101" s="951"/>
      <c r="AQ101" s="951"/>
      <c r="AR101" s="951"/>
      <c r="AS101" s="212"/>
      <c r="AT101" s="212"/>
      <c r="AU101" s="951"/>
      <c r="AV101" s="951"/>
      <c r="AW101" s="951"/>
      <c r="AZ101" s="951"/>
      <c r="BA101" s="951"/>
      <c r="BB101" s="951"/>
      <c r="BE101" s="951"/>
      <c r="BF101" s="951"/>
      <c r="BG101" s="951"/>
      <c r="BJ101" s="951"/>
      <c r="BK101" s="951"/>
      <c r="BL101" s="951"/>
      <c r="BO101" s="951"/>
      <c r="BP101" s="951"/>
      <c r="BQ101" s="951"/>
      <c r="BT101" s="951"/>
      <c r="BU101" s="951"/>
      <c r="BV101" s="951"/>
      <c r="BY101" s="951"/>
      <c r="BZ101" s="951"/>
      <c r="CA101" s="951"/>
      <c r="CD101" s="951"/>
      <c r="CE101" s="951"/>
      <c r="CF101" s="951"/>
      <c r="CJ101" s="951"/>
      <c r="CK101" s="951"/>
      <c r="CL101" s="951"/>
      <c r="CP101" s="951"/>
      <c r="CQ101" s="951"/>
      <c r="CR101" s="951"/>
      <c r="CV101" s="951"/>
      <c r="CW101" s="951"/>
      <c r="CX101" s="951"/>
    </row>
    <row r="102" spans="1:125" s="292" customFormat="1" ht="42" customHeight="1">
      <c r="A102" s="211"/>
      <c r="B102" s="1708" t="s">
        <v>235</v>
      </c>
      <c r="C102" s="1708"/>
      <c r="D102" s="1708"/>
      <c r="E102" s="1708"/>
      <c r="F102" s="1708"/>
      <c r="G102" s="1708"/>
      <c r="H102" s="1708"/>
      <c r="I102" s="1708"/>
      <c r="J102" s="1708"/>
      <c r="K102" s="1708"/>
      <c r="L102" s="1708"/>
      <c r="M102" s="1708"/>
      <c r="N102" s="1708"/>
      <c r="O102" s="1708"/>
      <c r="P102" s="1708"/>
      <c r="Q102" s="1708"/>
      <c r="R102" s="1708"/>
      <c r="S102" s="1708"/>
      <c r="T102" s="1708"/>
      <c r="U102" s="1708"/>
      <c r="V102" s="1708"/>
      <c r="W102" s="1708"/>
      <c r="X102" s="1708"/>
      <c r="Y102" s="1708"/>
      <c r="Z102" s="1708"/>
      <c r="AA102" s="1708"/>
      <c r="AB102" s="1708"/>
      <c r="AC102" s="1708"/>
      <c r="AD102" s="1708"/>
      <c r="AE102" s="1708"/>
      <c r="AF102" s="1708"/>
      <c r="AG102" s="1708"/>
      <c r="AH102" s="1708"/>
      <c r="AI102" s="1708"/>
      <c r="AJ102" s="1708"/>
      <c r="AK102" s="1708"/>
      <c r="AL102" s="1708"/>
      <c r="AM102" s="1708"/>
      <c r="AN102" s="1708"/>
      <c r="AO102" s="1708"/>
      <c r="AP102" s="1708"/>
      <c r="AQ102" s="1708"/>
      <c r="AR102" s="1708"/>
      <c r="AS102" s="1708"/>
      <c r="AT102" s="1708"/>
      <c r="AU102" s="1708"/>
      <c r="AV102" s="1708"/>
      <c r="AW102" s="1708"/>
      <c r="AX102" s="1708"/>
      <c r="AY102" s="1708"/>
      <c r="AZ102" s="1708"/>
      <c r="BA102" s="1708"/>
      <c r="BB102" s="1708"/>
      <c r="BC102" s="1708"/>
      <c r="BD102" s="1708"/>
      <c r="BE102" s="1708"/>
      <c r="BF102" s="1708"/>
      <c r="BG102" s="1708"/>
      <c r="BH102" s="1708"/>
      <c r="BI102" s="1708"/>
      <c r="BJ102" s="1708"/>
      <c r="BK102" s="1708"/>
      <c r="BL102" s="1708"/>
      <c r="BM102" s="1708"/>
      <c r="BN102" s="1708"/>
      <c r="BO102" s="1708"/>
      <c r="BP102" s="1708"/>
      <c r="BQ102" s="1708"/>
      <c r="BR102" s="1708"/>
      <c r="BS102" s="1708"/>
      <c r="BT102" s="1708"/>
      <c r="BU102" s="1708"/>
      <c r="BV102" s="1708"/>
      <c r="BW102" s="1708"/>
      <c r="BX102" s="1708"/>
      <c r="BY102" s="1708"/>
      <c r="BZ102" s="1708"/>
      <c r="CA102" s="1708"/>
      <c r="CB102" s="1708"/>
      <c r="CC102" s="1708"/>
      <c r="CD102" s="1708"/>
      <c r="CE102" s="1708"/>
      <c r="CF102" s="1708"/>
      <c r="CG102" s="1708"/>
      <c r="CH102" s="1708"/>
      <c r="CI102" s="1708"/>
      <c r="CJ102" s="951"/>
      <c r="CK102" s="951"/>
      <c r="CL102" s="951"/>
      <c r="CM102" s="951"/>
      <c r="CZ102" s="293"/>
      <c r="DA102" s="293"/>
      <c r="DB102" s="293"/>
      <c r="DC102" s="294"/>
      <c r="DD102" s="294"/>
      <c r="DE102" s="114"/>
      <c r="DF102" s="214"/>
      <c r="DG102" s="214"/>
      <c r="DH102" s="215"/>
      <c r="DI102" s="216"/>
      <c r="DJ102" s="117"/>
      <c r="DK102" s="117"/>
      <c r="DL102" s="117"/>
      <c r="DM102" s="216"/>
      <c r="DN102" s="295"/>
      <c r="DO102" s="295"/>
      <c r="DP102" s="295"/>
      <c r="DQ102" s="295"/>
      <c r="DR102" s="295"/>
      <c r="DS102" s="295"/>
      <c r="DT102" s="232"/>
      <c r="DU102" s="232"/>
    </row>
    <row r="103" spans="1:125" s="292" customFormat="1" ht="49.5" customHeight="1">
      <c r="A103" s="211"/>
      <c r="B103" s="1708" t="s">
        <v>362</v>
      </c>
      <c r="C103" s="1708"/>
      <c r="D103" s="1708"/>
      <c r="E103" s="1708"/>
      <c r="F103" s="1708"/>
      <c r="G103" s="1708"/>
      <c r="H103" s="1708"/>
      <c r="I103" s="1708"/>
      <c r="J103" s="1708"/>
      <c r="K103" s="1708"/>
      <c r="L103" s="1708"/>
      <c r="M103" s="1708"/>
      <c r="N103" s="1708"/>
      <c r="O103" s="1708"/>
      <c r="P103" s="1708"/>
      <c r="Q103" s="1708"/>
      <c r="R103" s="1708"/>
      <c r="S103" s="1708"/>
      <c r="T103" s="1708"/>
      <c r="U103" s="1708"/>
      <c r="V103" s="1708"/>
      <c r="W103" s="1708"/>
      <c r="X103" s="1708"/>
      <c r="Y103" s="1708"/>
      <c r="Z103" s="1708"/>
      <c r="AA103" s="1708"/>
      <c r="AB103" s="1708"/>
      <c r="AC103" s="1708"/>
      <c r="AD103" s="1708"/>
      <c r="AE103" s="1708"/>
      <c r="AF103" s="1708"/>
      <c r="AG103" s="1708"/>
      <c r="AH103" s="1708"/>
      <c r="AI103" s="1708"/>
      <c r="AJ103" s="1708"/>
      <c r="AK103" s="1708"/>
      <c r="AL103" s="1708"/>
      <c r="AM103" s="1708"/>
      <c r="AN103" s="1708"/>
      <c r="AO103" s="1708"/>
      <c r="AP103" s="1708"/>
      <c r="AQ103" s="1708"/>
      <c r="AR103" s="1708"/>
      <c r="AS103" s="1708"/>
      <c r="AT103" s="1708"/>
      <c r="AU103" s="1708"/>
      <c r="AV103" s="1708"/>
      <c r="AW103" s="1708"/>
      <c r="AX103" s="1708"/>
      <c r="AY103" s="1708"/>
      <c r="AZ103" s="1708"/>
      <c r="BA103" s="1708"/>
      <c r="BB103" s="1708"/>
      <c r="BC103" s="1708"/>
      <c r="BD103" s="1708"/>
      <c r="BE103" s="1708"/>
      <c r="BF103" s="1708"/>
      <c r="BG103" s="1708"/>
      <c r="BH103" s="1708"/>
      <c r="BI103" s="1708"/>
      <c r="BJ103" s="1708"/>
      <c r="BK103" s="1708"/>
      <c r="BL103" s="1708"/>
      <c r="BM103" s="1708"/>
      <c r="BN103" s="1708"/>
      <c r="BO103" s="1708"/>
      <c r="BP103" s="1708"/>
      <c r="BQ103" s="1708"/>
      <c r="BR103" s="1708"/>
      <c r="BS103" s="1708"/>
      <c r="BT103" s="1708"/>
      <c r="BU103" s="1708"/>
      <c r="BV103" s="1708"/>
      <c r="BW103" s="1708"/>
      <c r="BX103" s="1708"/>
      <c r="BY103" s="1708"/>
      <c r="BZ103" s="1708"/>
      <c r="CA103" s="1708"/>
      <c r="CB103" s="1708"/>
      <c r="CC103" s="1708"/>
      <c r="CD103" s="1708"/>
      <c r="CE103" s="1708"/>
      <c r="CF103" s="1708"/>
      <c r="CG103" s="1708"/>
      <c r="CH103" s="1708"/>
      <c r="CI103" s="213"/>
      <c r="CJ103" s="213"/>
      <c r="CK103" s="213"/>
      <c r="CL103" s="213"/>
      <c r="CM103" s="213"/>
    </row>
    <row r="104" spans="1:125" s="292" customFormat="1" ht="42.75" customHeight="1">
      <c r="A104" s="174"/>
      <c r="B104" s="1708" t="s">
        <v>363</v>
      </c>
      <c r="C104" s="1708"/>
      <c r="D104" s="1708"/>
      <c r="E104" s="1708"/>
      <c r="F104" s="1708"/>
      <c r="G104" s="1708"/>
      <c r="H104" s="1708"/>
      <c r="I104" s="1708"/>
      <c r="J104" s="1708"/>
      <c r="K104" s="1708"/>
      <c r="L104" s="1708"/>
      <c r="M104" s="1708"/>
      <c r="N104" s="1708"/>
      <c r="O104" s="1708"/>
      <c r="P104" s="1708"/>
      <c r="Q104" s="1708"/>
      <c r="R104" s="1708"/>
      <c r="S104" s="1708"/>
      <c r="T104" s="1708"/>
      <c r="U104" s="1708"/>
      <c r="V104" s="1708"/>
      <c r="W104" s="1708"/>
      <c r="X104" s="1708"/>
      <c r="Y104" s="1708"/>
      <c r="Z104" s="1708"/>
      <c r="AA104" s="1708"/>
      <c r="AB104" s="1708"/>
      <c r="AC104" s="1708"/>
      <c r="AD104" s="1708"/>
      <c r="AE104" s="1708"/>
      <c r="AF104" s="1708"/>
      <c r="AG104" s="1708"/>
      <c r="AH104" s="1708"/>
      <c r="AI104" s="1708"/>
      <c r="AJ104" s="1708"/>
      <c r="AK104" s="1708"/>
      <c r="AL104" s="1708"/>
      <c r="AM104" s="1708"/>
      <c r="AN104" s="1708"/>
      <c r="AO104" s="1708"/>
      <c r="AP104" s="1708"/>
      <c r="AQ104" s="1708"/>
      <c r="AR104" s="1708"/>
      <c r="AS104" s="1708"/>
      <c r="AT104" s="1708"/>
      <c r="AU104" s="1708"/>
      <c r="AV104" s="1708"/>
      <c r="AW104" s="1708"/>
      <c r="AX104" s="1708"/>
      <c r="AY104" s="1708"/>
      <c r="AZ104" s="1708"/>
      <c r="BA104" s="1708"/>
      <c r="BB104" s="1708"/>
      <c r="BC104" s="1708"/>
      <c r="BD104" s="1708"/>
      <c r="BE104" s="1708"/>
      <c r="BF104" s="1708"/>
      <c r="BG104" s="1708"/>
      <c r="BH104" s="1708"/>
      <c r="BI104" s="1708"/>
      <c r="BJ104" s="1708"/>
      <c r="BK104" s="1708"/>
      <c r="BL104" s="1708"/>
      <c r="BM104" s="1708"/>
      <c r="BN104" s="1708"/>
      <c r="BO104" s="1708"/>
      <c r="BP104" s="1708"/>
      <c r="BQ104" s="1708"/>
      <c r="BR104" s="1708"/>
      <c r="BS104" s="1708"/>
      <c r="BT104" s="1708"/>
      <c r="BU104" s="1708"/>
      <c r="BV104" s="1708"/>
      <c r="BW104" s="1708"/>
      <c r="BX104" s="1708"/>
      <c r="BY104" s="1708"/>
      <c r="BZ104" s="1708"/>
      <c r="CA104" s="1708"/>
      <c r="CB104" s="1708"/>
      <c r="CC104" s="1708"/>
      <c r="CD104" s="1708"/>
      <c r="CE104" s="1708"/>
      <c r="CF104" s="1708"/>
      <c r="CG104" s="1708"/>
      <c r="CH104" s="1708"/>
    </row>
    <row r="105" spans="1:125" s="292" customFormat="1" ht="39" customHeight="1">
      <c r="A105" s="174"/>
      <c r="B105" s="1708" t="s">
        <v>364</v>
      </c>
      <c r="C105" s="1708"/>
      <c r="D105" s="1708"/>
      <c r="E105" s="1708"/>
      <c r="F105" s="1708"/>
      <c r="G105" s="1708"/>
      <c r="H105" s="1708"/>
      <c r="I105" s="1708"/>
      <c r="J105" s="1708"/>
      <c r="K105" s="1708"/>
      <c r="L105" s="1708"/>
      <c r="M105" s="1708"/>
      <c r="N105" s="1708"/>
      <c r="O105" s="1708"/>
      <c r="P105" s="1708"/>
      <c r="Q105" s="1708"/>
      <c r="R105" s="1708"/>
      <c r="S105" s="1708"/>
      <c r="T105" s="1708"/>
      <c r="U105" s="1708"/>
      <c r="V105" s="1708"/>
      <c r="W105" s="1708"/>
      <c r="X105" s="1708"/>
      <c r="Y105" s="1708"/>
      <c r="Z105" s="1708"/>
      <c r="AA105" s="1708"/>
      <c r="AB105" s="1708"/>
      <c r="AC105" s="1708"/>
      <c r="AD105" s="1708"/>
      <c r="AE105" s="1708"/>
      <c r="AF105" s="1708"/>
      <c r="AG105" s="1708"/>
      <c r="AH105" s="1708"/>
      <c r="AI105" s="1708"/>
      <c r="AJ105" s="1708"/>
      <c r="AK105" s="1708"/>
      <c r="AL105" s="1708"/>
      <c r="AM105" s="1708"/>
      <c r="AN105" s="1708"/>
      <c r="AO105" s="1708"/>
      <c r="AP105" s="1708"/>
      <c r="AQ105" s="1708"/>
      <c r="AR105" s="1708"/>
      <c r="AS105" s="1708"/>
      <c r="AT105" s="1708"/>
      <c r="AU105" s="1708"/>
      <c r="AV105" s="1708"/>
      <c r="AW105" s="1708"/>
      <c r="AX105" s="1708"/>
      <c r="AY105" s="1708"/>
      <c r="AZ105" s="1708"/>
      <c r="BA105" s="1708"/>
      <c r="BB105" s="1708"/>
      <c r="BC105" s="1708"/>
      <c r="BD105" s="1708"/>
      <c r="BE105" s="1708"/>
      <c r="BF105" s="1708"/>
      <c r="BG105" s="1708"/>
      <c r="BH105" s="1708"/>
      <c r="BI105" s="1708"/>
      <c r="BJ105" s="1708"/>
      <c r="BK105" s="1708"/>
      <c r="BL105" s="1708"/>
      <c r="BM105" s="1708"/>
      <c r="BN105" s="1708"/>
      <c r="BO105" s="1708"/>
      <c r="BP105" s="1708"/>
      <c r="BQ105" s="1708"/>
      <c r="BR105" s="1708"/>
      <c r="BS105" s="1708"/>
      <c r="BT105" s="1708"/>
      <c r="BU105" s="1708"/>
      <c r="BV105" s="1708"/>
      <c r="BW105" s="1708"/>
      <c r="BX105" s="1708"/>
      <c r="BY105" s="1708"/>
      <c r="BZ105" s="1708"/>
      <c r="CA105" s="1708"/>
      <c r="CB105" s="1708"/>
      <c r="CC105" s="1708"/>
      <c r="CD105" s="1708"/>
      <c r="CE105" s="1708"/>
      <c r="CF105" s="1708"/>
      <c r="CG105" s="1708"/>
      <c r="CH105" s="1708"/>
    </row>
    <row r="106" spans="1:125" ht="18.75" customHeight="1">
      <c r="A106" s="110"/>
      <c r="B106" s="487" t="s">
        <v>365</v>
      </c>
      <c r="C106" s="111"/>
      <c r="D106" s="112"/>
      <c r="E106" s="113"/>
      <c r="F106" s="113"/>
      <c r="G106" s="111"/>
      <c r="H106" s="111"/>
      <c r="I106" s="111"/>
      <c r="J106" s="111"/>
      <c r="K106" s="111"/>
      <c r="L106" s="111"/>
      <c r="M106" s="111"/>
      <c r="N106" s="111"/>
      <c r="O106" s="114"/>
      <c r="P106" s="115"/>
      <c r="Q106" s="111"/>
      <c r="R106" s="111"/>
      <c r="S106" s="111"/>
      <c r="T106" s="115"/>
      <c r="U106" s="116"/>
      <c r="V106" s="111"/>
      <c r="W106" s="111"/>
      <c r="X106" s="111"/>
      <c r="Y106" s="116"/>
      <c r="Z106" s="114"/>
      <c r="AA106" s="111"/>
      <c r="AB106" s="111"/>
      <c r="AC106" s="111"/>
      <c r="AD106" s="114"/>
      <c r="AE106" s="114"/>
      <c r="AF106" s="111"/>
      <c r="AG106" s="111"/>
      <c r="AH106" s="111"/>
      <c r="AI106" s="116"/>
      <c r="AJ106" s="125"/>
      <c r="AK106" s="111"/>
      <c r="AL106" s="111"/>
      <c r="AM106" s="111"/>
      <c r="AN106" s="116"/>
      <c r="AO106" s="117"/>
      <c r="AP106" s="111"/>
      <c r="AQ106" s="111"/>
      <c r="AR106" s="111"/>
      <c r="AS106" s="117"/>
      <c r="AT106" s="117"/>
      <c r="AU106" s="111"/>
      <c r="AV106" s="111"/>
      <c r="AW106" s="111"/>
      <c r="AZ106" s="111"/>
      <c r="BA106" s="111"/>
      <c r="BB106" s="111"/>
      <c r="BE106" s="111"/>
      <c r="BF106" s="111"/>
      <c r="BG106" s="111"/>
      <c r="BJ106" s="111"/>
      <c r="BK106" s="111"/>
      <c r="BL106" s="111"/>
      <c r="BO106" s="111"/>
      <c r="BP106" s="111"/>
      <c r="BQ106" s="111"/>
      <c r="BT106" s="111"/>
      <c r="BU106" s="111"/>
      <c r="BV106" s="111"/>
      <c r="BY106" s="111"/>
      <c r="BZ106" s="111"/>
      <c r="CA106" s="111"/>
      <c r="CD106" s="111"/>
      <c r="CE106" s="111"/>
      <c r="CF106" s="111"/>
      <c r="CJ106" s="111"/>
      <c r="CK106" s="111"/>
      <c r="CL106" s="111"/>
      <c r="CP106" s="111"/>
      <c r="CQ106" s="111"/>
      <c r="CR106" s="111"/>
      <c r="CV106" s="111"/>
      <c r="CW106" s="111"/>
      <c r="CX106" s="111"/>
    </row>
    <row r="107" spans="1:125" ht="18.75" customHeight="1">
      <c r="A107" s="110"/>
      <c r="B107" s="488" t="s">
        <v>366</v>
      </c>
      <c r="C107" s="111"/>
      <c r="D107" s="112"/>
      <c r="E107" s="113"/>
      <c r="F107" s="113"/>
      <c r="G107" s="111"/>
      <c r="H107" s="111"/>
      <c r="I107" s="111"/>
      <c r="J107" s="111"/>
      <c r="K107" s="111"/>
      <c r="L107" s="111"/>
      <c r="M107" s="111"/>
      <c r="N107" s="111"/>
      <c r="O107" s="114"/>
      <c r="P107" s="115"/>
      <c r="Q107" s="111"/>
      <c r="R107" s="111"/>
      <c r="S107" s="111"/>
      <c r="T107" s="115"/>
      <c r="U107" s="116"/>
      <c r="V107" s="111"/>
      <c r="W107" s="111"/>
      <c r="X107" s="111"/>
      <c r="Y107" s="116"/>
      <c r="Z107" s="114"/>
      <c r="AA107" s="111"/>
      <c r="AB107" s="111"/>
      <c r="AC107" s="111"/>
      <c r="AD107" s="114"/>
      <c r="AE107" s="114"/>
      <c r="AF107" s="111"/>
      <c r="AG107" s="111"/>
      <c r="AH107" s="111"/>
      <c r="AI107" s="116"/>
      <c r="AJ107" s="34"/>
      <c r="AK107" s="111"/>
      <c r="AL107" s="111"/>
      <c r="AM107" s="111"/>
      <c r="AN107" s="116"/>
      <c r="AO107" s="117"/>
      <c r="AP107" s="111"/>
      <c r="AQ107" s="111"/>
      <c r="AR107" s="111"/>
      <c r="AS107" s="117"/>
      <c r="AT107" s="117"/>
      <c r="AU107" s="111"/>
      <c r="AV107" s="111"/>
      <c r="AW107" s="111"/>
      <c r="AZ107" s="111"/>
      <c r="BA107" s="111"/>
      <c r="BB107" s="111"/>
      <c r="BE107" s="111"/>
      <c r="BF107" s="111"/>
      <c r="BG107" s="111"/>
      <c r="BJ107" s="111"/>
      <c r="BK107" s="111"/>
      <c r="BL107" s="111"/>
      <c r="BO107" s="111"/>
      <c r="BP107" s="111"/>
      <c r="BQ107" s="111"/>
      <c r="BT107" s="111"/>
      <c r="BU107" s="111"/>
      <c r="BV107" s="111"/>
      <c r="BY107" s="111"/>
      <c r="BZ107" s="111"/>
      <c r="CA107" s="111"/>
      <c r="CD107" s="111"/>
      <c r="CE107" s="111"/>
      <c r="CF107" s="111"/>
      <c r="CJ107" s="111"/>
      <c r="CK107" s="111"/>
      <c r="CL107" s="111"/>
      <c r="CP107" s="111"/>
      <c r="CQ107" s="111"/>
      <c r="CR107" s="111"/>
      <c r="CV107" s="111"/>
      <c r="CW107" s="111"/>
      <c r="CX107" s="111"/>
    </row>
    <row r="108" spans="1:125" ht="18.75" customHeight="1">
      <c r="A108" s="110"/>
      <c r="B108" s="487" t="s">
        <v>236</v>
      </c>
      <c r="C108" s="111"/>
      <c r="D108" s="112"/>
      <c r="E108" s="113"/>
      <c r="F108" s="113"/>
      <c r="G108" s="111"/>
      <c r="H108" s="111"/>
      <c r="I108" s="111"/>
      <c r="J108" s="111"/>
      <c r="K108" s="111"/>
      <c r="L108" s="111"/>
      <c r="M108" s="111"/>
      <c r="N108" s="111"/>
      <c r="O108" s="114"/>
      <c r="P108" s="115"/>
      <c r="Q108" s="111"/>
      <c r="R108" s="111"/>
      <c r="S108" s="111"/>
      <c r="T108" s="115"/>
      <c r="U108" s="116"/>
      <c r="V108" s="111"/>
      <c r="W108" s="111"/>
      <c r="X108" s="111"/>
      <c r="Y108" s="116"/>
      <c r="Z108" s="114"/>
      <c r="AA108" s="111"/>
      <c r="AB108" s="111"/>
      <c r="AC108" s="111"/>
      <c r="AD108" s="114"/>
      <c r="AE108" s="114"/>
      <c r="AF108" s="111"/>
      <c r="AG108" s="111"/>
      <c r="AH108" s="111"/>
      <c r="AI108" s="116"/>
      <c r="AJ108" s="2"/>
      <c r="AK108" s="111"/>
      <c r="AL108" s="111"/>
      <c r="AM108" s="111"/>
      <c r="AN108" s="116"/>
      <c r="AO108" s="117"/>
      <c r="AP108" s="111"/>
      <c r="AQ108" s="111"/>
      <c r="AR108" s="111"/>
      <c r="AS108" s="117"/>
      <c r="AT108" s="117"/>
      <c r="AU108" s="111"/>
      <c r="AV108" s="111"/>
      <c r="AW108" s="111"/>
      <c r="AZ108" s="111"/>
      <c r="BA108" s="111"/>
      <c r="BB108" s="111"/>
      <c r="BE108" s="111"/>
      <c r="BF108" s="111"/>
      <c r="BG108" s="111"/>
      <c r="BJ108" s="111"/>
      <c r="BK108" s="111"/>
      <c r="BL108" s="111"/>
      <c r="BO108" s="111"/>
      <c r="BP108" s="111"/>
      <c r="BQ108" s="111"/>
      <c r="BT108" s="111"/>
      <c r="BU108" s="111"/>
      <c r="BV108" s="111"/>
      <c r="BY108" s="111"/>
      <c r="BZ108" s="111"/>
      <c r="CA108" s="111"/>
      <c r="CD108" s="111"/>
      <c r="CE108" s="111"/>
      <c r="CF108" s="111"/>
      <c r="CJ108" s="111"/>
      <c r="CK108" s="111"/>
      <c r="CL108" s="111"/>
      <c r="CP108" s="111"/>
      <c r="CQ108" s="111"/>
      <c r="CR108" s="111"/>
      <c r="CV108" s="111"/>
      <c r="CW108" s="111"/>
      <c r="CX108" s="111"/>
    </row>
    <row r="109" spans="1:125" ht="24.75" customHeight="1">
      <c r="A109" s="118">
        <v>4</v>
      </c>
      <c r="B109" s="487" t="s">
        <v>237</v>
      </c>
      <c r="C109" s="119"/>
      <c r="D109" s="118"/>
      <c r="E109" s="120"/>
      <c r="F109" s="120"/>
      <c r="G109" s="119"/>
      <c r="H109" s="119"/>
      <c r="I109" s="119"/>
      <c r="J109" s="119"/>
      <c r="K109" s="119"/>
      <c r="L109" s="119"/>
      <c r="M109" s="119"/>
      <c r="N109" s="119"/>
      <c r="O109" s="121"/>
      <c r="P109" s="122"/>
      <c r="Q109" s="119"/>
      <c r="R109" s="119"/>
      <c r="S109" s="119"/>
      <c r="T109" s="122"/>
      <c r="U109" s="123"/>
      <c r="V109" s="119"/>
      <c r="W109" s="119"/>
      <c r="X109" s="119"/>
      <c r="Y109" s="123"/>
      <c r="Z109" s="121"/>
      <c r="AA109" s="119"/>
      <c r="AB109" s="119"/>
      <c r="AC109" s="119"/>
      <c r="AD109" s="121"/>
      <c r="AE109" s="121"/>
      <c r="AF109" s="119"/>
      <c r="AG109" s="119"/>
      <c r="AH109" s="119"/>
      <c r="AI109" s="123"/>
      <c r="AJ109" s="34"/>
      <c r="AK109" s="119"/>
      <c r="AL109" s="119"/>
      <c r="AM109" s="119"/>
      <c r="AN109" s="123"/>
      <c r="AO109" s="118"/>
      <c r="AP109" s="119"/>
      <c r="AQ109" s="119"/>
      <c r="AR109" s="119"/>
      <c r="AS109" s="118"/>
      <c r="AT109" s="118"/>
      <c r="AU109" s="119"/>
      <c r="AV109" s="119"/>
      <c r="AW109" s="119"/>
      <c r="AZ109" s="119"/>
      <c r="BA109" s="119"/>
      <c r="BB109" s="119"/>
      <c r="BE109" s="119"/>
      <c r="BF109" s="119"/>
      <c r="BG109" s="119"/>
      <c r="BJ109" s="119"/>
      <c r="BK109" s="119"/>
      <c r="BL109" s="119"/>
      <c r="BO109" s="119"/>
      <c r="BP109" s="119"/>
      <c r="BQ109" s="119"/>
      <c r="BT109" s="119"/>
      <c r="BU109" s="119"/>
      <c r="BV109" s="119"/>
      <c r="BY109" s="119"/>
      <c r="BZ109" s="119"/>
      <c r="CA109" s="119"/>
      <c r="CD109" s="119"/>
      <c r="CE109" s="119"/>
      <c r="CF109" s="119"/>
      <c r="CJ109" s="119"/>
      <c r="CK109" s="119"/>
      <c r="CL109" s="119"/>
      <c r="CP109" s="119"/>
      <c r="CQ109" s="119"/>
      <c r="CR109" s="119"/>
      <c r="CV109" s="119"/>
      <c r="CW109" s="119"/>
      <c r="CX109" s="119"/>
    </row>
    <row r="110" spans="1:125" ht="12.75" customHeight="1">
      <c r="A110" s="13"/>
      <c r="B110" s="489" t="s">
        <v>238</v>
      </c>
      <c r="C110" s="111"/>
      <c r="D110" s="112"/>
      <c r="E110" s="113"/>
      <c r="F110" s="113"/>
      <c r="G110" s="111"/>
      <c r="H110" s="111"/>
      <c r="I110" s="111"/>
      <c r="J110" s="111"/>
      <c r="K110" s="111"/>
      <c r="L110" s="111"/>
      <c r="M110" s="111"/>
      <c r="N110" s="111"/>
      <c r="O110" s="114"/>
      <c r="P110" s="293"/>
      <c r="Q110" s="111"/>
      <c r="R110" s="111"/>
      <c r="S110" s="111"/>
      <c r="T110" s="293"/>
      <c r="U110" s="293"/>
      <c r="V110" s="111"/>
      <c r="W110" s="111"/>
      <c r="X110" s="111"/>
      <c r="Y110" s="294"/>
      <c r="Z110" s="294"/>
      <c r="AA110" s="111"/>
      <c r="AB110" s="111"/>
      <c r="AC110" s="111"/>
      <c r="AD110" s="114"/>
      <c r="AE110" s="214"/>
      <c r="AF110" s="111"/>
      <c r="AG110" s="111"/>
      <c r="AH110" s="111"/>
      <c r="AI110" s="214"/>
      <c r="AJ110" s="215"/>
      <c r="AK110" s="111"/>
      <c r="AL110" s="111"/>
      <c r="AM110" s="111"/>
      <c r="AN110" s="216"/>
      <c r="AO110" s="117"/>
      <c r="AP110" s="111"/>
      <c r="AQ110" s="111"/>
      <c r="AR110" s="111"/>
      <c r="AS110" s="117"/>
      <c r="AT110" s="117"/>
      <c r="AU110" s="111"/>
      <c r="AV110" s="111"/>
      <c r="AW110" s="111"/>
      <c r="AX110" s="216"/>
      <c r="AY110" s="295"/>
      <c r="AZ110" s="111"/>
      <c r="BA110" s="111"/>
      <c r="BB110" s="111"/>
      <c r="BC110" s="295"/>
      <c r="BD110" s="295"/>
      <c r="BE110" s="111"/>
      <c r="BF110" s="111"/>
      <c r="BG110" s="111"/>
      <c r="BH110" s="295"/>
      <c r="BI110" s="295"/>
      <c r="BJ110" s="111"/>
      <c r="BK110" s="111"/>
      <c r="BL110" s="111"/>
      <c r="BM110" s="295"/>
      <c r="BO110" s="111"/>
      <c r="BP110" s="111"/>
      <c r="BQ110" s="111"/>
      <c r="BT110" s="111"/>
      <c r="BU110" s="111"/>
      <c r="BV110" s="111"/>
      <c r="BY110" s="111"/>
      <c r="BZ110" s="111"/>
      <c r="CA110" s="111"/>
      <c r="CD110" s="111"/>
      <c r="CE110" s="111"/>
      <c r="CF110" s="111"/>
      <c r="CJ110" s="111"/>
      <c r="CK110" s="111"/>
      <c r="CL110" s="111"/>
      <c r="CP110" s="111"/>
      <c r="CQ110" s="111"/>
      <c r="CR110" s="111"/>
      <c r="CV110" s="111"/>
      <c r="CW110" s="111"/>
      <c r="CX110" s="111"/>
    </row>
    <row r="111" spans="1:125" ht="12.75" customHeight="1">
      <c r="A111" s="2"/>
      <c r="B111" s="483"/>
      <c r="C111" s="483"/>
      <c r="D111" s="483"/>
      <c r="E111" s="483"/>
      <c r="F111" s="483"/>
      <c r="G111" s="483"/>
      <c r="H111" s="483"/>
      <c r="I111" s="483"/>
      <c r="J111" s="483"/>
      <c r="K111" s="483"/>
      <c r="L111" s="483"/>
      <c r="M111" s="483"/>
      <c r="N111" s="483"/>
      <c r="O111" s="217"/>
      <c r="P111" s="217"/>
      <c r="Q111" s="483"/>
      <c r="R111" s="483"/>
      <c r="S111" s="483"/>
      <c r="T111" s="217"/>
      <c r="U111" s="217"/>
      <c r="V111" s="483"/>
      <c r="W111" s="483"/>
      <c r="X111" s="483"/>
      <c r="Y111" s="217"/>
      <c r="Z111" s="217"/>
      <c r="AA111" s="483"/>
      <c r="AB111" s="483"/>
      <c r="AC111" s="483"/>
      <c r="AD111" s="217"/>
      <c r="AE111" s="217"/>
      <c r="AF111" s="483"/>
      <c r="AG111" s="483"/>
      <c r="AH111" s="483"/>
      <c r="AI111" s="217"/>
      <c r="AJ111" s="218"/>
      <c r="AK111" s="483"/>
      <c r="AL111" s="483"/>
      <c r="AM111" s="483"/>
      <c r="AN111" s="217"/>
      <c r="AO111" s="117"/>
      <c r="AP111" s="483"/>
      <c r="AQ111" s="483"/>
      <c r="AR111" s="483"/>
      <c r="AS111" s="117"/>
      <c r="AT111" s="117"/>
      <c r="AU111" s="483"/>
      <c r="AV111" s="483"/>
      <c r="AW111" s="483"/>
      <c r="AX111" s="295"/>
      <c r="AY111" s="295"/>
      <c r="AZ111" s="483"/>
      <c r="BA111" s="483"/>
      <c r="BB111" s="483"/>
      <c r="BC111" s="295"/>
      <c r="BD111" s="295"/>
      <c r="BE111" s="483"/>
      <c r="BF111" s="483"/>
      <c r="BG111" s="483"/>
      <c r="BH111" s="295"/>
      <c r="BI111" s="295"/>
      <c r="BJ111" s="483"/>
      <c r="BK111" s="483"/>
      <c r="BL111" s="483"/>
      <c r="BM111" s="295"/>
      <c r="BO111" s="483"/>
      <c r="BP111" s="483"/>
      <c r="BQ111" s="483"/>
      <c r="BT111" s="483"/>
      <c r="BU111" s="483"/>
      <c r="BV111" s="483"/>
      <c r="BY111" s="483"/>
      <c r="BZ111" s="483"/>
      <c r="CA111" s="483"/>
      <c r="CD111" s="483"/>
      <c r="CE111" s="483"/>
      <c r="CF111" s="483"/>
      <c r="CJ111" s="483"/>
      <c r="CK111" s="483"/>
      <c r="CL111" s="483"/>
      <c r="CP111" s="483"/>
      <c r="CQ111" s="483"/>
      <c r="CR111" s="483"/>
      <c r="CV111" s="483"/>
      <c r="CW111" s="483"/>
      <c r="CX111" s="483"/>
    </row>
    <row r="112" spans="1:125" ht="46.5" customHeight="1">
      <c r="A112" s="2"/>
      <c r="B112" s="1708" t="s">
        <v>239</v>
      </c>
      <c r="C112" s="1708"/>
      <c r="D112" s="1708"/>
      <c r="E112" s="1708"/>
      <c r="F112" s="1708"/>
      <c r="G112" s="1708"/>
      <c r="H112" s="1708"/>
      <c r="I112" s="1708"/>
      <c r="J112" s="1708"/>
      <c r="K112" s="1708"/>
      <c r="L112" s="1708"/>
      <c r="M112" s="1708"/>
      <c r="N112" s="1708"/>
      <c r="O112" s="1708"/>
      <c r="P112" s="1708"/>
      <c r="Q112" s="1708"/>
      <c r="R112" s="1708"/>
      <c r="S112" s="1708"/>
      <c r="T112" s="1708"/>
      <c r="U112" s="1708"/>
      <c r="V112" s="1708"/>
      <c r="W112" s="1708"/>
      <c r="X112" s="1708"/>
      <c r="Y112" s="1708"/>
      <c r="Z112" s="1708"/>
      <c r="AA112" s="1708"/>
      <c r="AB112" s="1708"/>
      <c r="AC112" s="1708"/>
      <c r="AD112" s="1708"/>
      <c r="AE112" s="1708"/>
      <c r="AF112" s="1708"/>
      <c r="AG112" s="1708"/>
      <c r="AH112" s="1708"/>
      <c r="AI112" s="1708"/>
      <c r="AJ112" s="1708"/>
      <c r="AK112" s="1708"/>
      <c r="AL112" s="1708"/>
      <c r="AM112" s="1708"/>
      <c r="AN112" s="1708"/>
      <c r="AO112" s="1708"/>
      <c r="AP112" s="1708"/>
      <c r="AQ112" s="1708"/>
      <c r="AR112" s="1708"/>
      <c r="AS112" s="1708"/>
      <c r="AT112" s="1708"/>
      <c r="AU112" s="1708"/>
      <c r="AV112" s="1708"/>
      <c r="AW112" s="1708"/>
      <c r="AX112" s="1708"/>
      <c r="AY112" s="1708"/>
      <c r="AZ112" s="1708"/>
      <c r="BA112" s="1708"/>
      <c r="BB112" s="1708"/>
      <c r="BC112" s="1708"/>
      <c r="BD112" s="1708"/>
      <c r="BE112" s="1708"/>
      <c r="BF112" s="1708"/>
      <c r="BG112" s="1708"/>
      <c r="BH112" s="1708"/>
      <c r="BI112" s="1708"/>
      <c r="BJ112" s="1708"/>
      <c r="BK112" s="1708"/>
      <c r="BL112" s="1708"/>
      <c r="BM112" s="1708"/>
      <c r="BN112" s="124"/>
      <c r="BO112" s="124"/>
      <c r="BP112" s="124"/>
      <c r="BQ112" s="124"/>
      <c r="BR112" s="124"/>
      <c r="BS112" s="124"/>
      <c r="BT112" s="124"/>
      <c r="BU112" s="124"/>
      <c r="BV112" s="124"/>
      <c r="BW112" s="124"/>
      <c r="BX112" s="124"/>
      <c r="BY112" s="124"/>
      <c r="BZ112" s="124"/>
      <c r="CA112" s="124"/>
      <c r="CB112" s="124"/>
      <c r="CC112" s="119"/>
      <c r="CD112" s="124"/>
      <c r="CE112" s="124"/>
      <c r="CF112" s="124"/>
      <c r="CG112" s="124"/>
      <c r="CH112" s="124"/>
      <c r="CI112" s="119"/>
      <c r="CJ112" s="124"/>
      <c r="CK112" s="124"/>
      <c r="CL112" s="124"/>
      <c r="CM112" s="124"/>
      <c r="CN112" s="124"/>
      <c r="CO112" s="3"/>
      <c r="CP112" s="124"/>
      <c r="CQ112" s="124"/>
      <c r="CR112" s="124"/>
      <c r="CS112" s="124"/>
      <c r="CV112" s="124"/>
      <c r="CW112" s="124"/>
      <c r="CX112" s="124"/>
      <c r="CY112" s="124"/>
    </row>
    <row r="113" spans="81:93">
      <c r="CC113" s="2"/>
      <c r="CI113" s="2"/>
      <c r="CO113" s="2"/>
    </row>
    <row r="114" spans="81:93">
      <c r="CC114" s="2"/>
      <c r="CI114" s="2"/>
      <c r="CO114" s="2"/>
    </row>
    <row r="115" spans="81:93">
      <c r="CC115" s="2"/>
      <c r="CI115" s="2"/>
      <c r="CO115" s="2"/>
    </row>
    <row r="116" spans="81:93">
      <c r="CC116" s="2"/>
      <c r="CI116" s="2"/>
      <c r="CO116" s="2"/>
    </row>
    <row r="117" spans="81:93">
      <c r="CC117" s="2"/>
      <c r="CI117" s="2"/>
      <c r="CO117" s="2"/>
    </row>
    <row r="118" spans="81:93">
      <c r="CC118" s="125"/>
      <c r="CI118" s="125"/>
      <c r="CO118" s="125"/>
    </row>
    <row r="119" spans="81:93">
      <c r="CC119" s="125"/>
      <c r="CI119" s="125"/>
      <c r="CO119" s="125"/>
    </row>
  </sheetData>
  <mergeCells count="86">
    <mergeCell ref="BH22:CN25"/>
    <mergeCell ref="I23:K23"/>
    <mergeCell ref="O23:P23"/>
    <mergeCell ref="T23:U23"/>
    <mergeCell ref="I24:K24"/>
    <mergeCell ref="H22:U22"/>
    <mergeCell ref="Y22:AI23"/>
    <mergeCell ref="AJ22:BD23"/>
    <mergeCell ref="O24:P24"/>
    <mergeCell ref="T24:U24"/>
    <mergeCell ref="Y24:AI25"/>
    <mergeCell ref="AJ24:BD25"/>
    <mergeCell ref="I25:K25"/>
    <mergeCell ref="O25:P25"/>
    <mergeCell ref="T25:U25"/>
    <mergeCell ref="BH18:CN21"/>
    <mergeCell ref="I19:K19"/>
    <mergeCell ref="O19:P19"/>
    <mergeCell ref="T19:U19"/>
    <mergeCell ref="I20:K20"/>
    <mergeCell ref="O20:P20"/>
    <mergeCell ref="T20:U20"/>
    <mergeCell ref="Y20:AI21"/>
    <mergeCell ref="AJ20:BD21"/>
    <mergeCell ref="I21:K21"/>
    <mergeCell ref="H18:U18"/>
    <mergeCell ref="Y18:AI19"/>
    <mergeCell ref="AJ18:BD19"/>
    <mergeCell ref="O21:P21"/>
    <mergeCell ref="T21:U21"/>
    <mergeCell ref="H14:U14"/>
    <mergeCell ref="Y14:AI15"/>
    <mergeCell ref="AJ14:BD15"/>
    <mergeCell ref="BH14:CN17"/>
    <mergeCell ref="I15:K15"/>
    <mergeCell ref="O15:P15"/>
    <mergeCell ref="T15:U15"/>
    <mergeCell ref="I16:K16"/>
    <mergeCell ref="O16:P16"/>
    <mergeCell ref="T16:U16"/>
    <mergeCell ref="Y16:AI17"/>
    <mergeCell ref="AJ16:BD17"/>
    <mergeCell ref="I17:K17"/>
    <mergeCell ref="O17:P17"/>
    <mergeCell ref="T17:U17"/>
    <mergeCell ref="B112:BM112"/>
    <mergeCell ref="B99:CH99"/>
    <mergeCell ref="AA31:BD31"/>
    <mergeCell ref="BE31:BN31"/>
    <mergeCell ref="BO31:CH31"/>
    <mergeCell ref="B100:AJ100"/>
    <mergeCell ref="B102:CI102"/>
    <mergeCell ref="B103:CH103"/>
    <mergeCell ref="B104:CH104"/>
    <mergeCell ref="B105:CH105"/>
    <mergeCell ref="O31:P31"/>
    <mergeCell ref="Q31:Z31"/>
    <mergeCell ref="I31:J31"/>
    <mergeCell ref="K31:L31"/>
    <mergeCell ref="M31:N31"/>
    <mergeCell ref="CI31:DF31"/>
    <mergeCell ref="A26:CN26"/>
    <mergeCell ref="A31:A32"/>
    <mergeCell ref="B31:B32"/>
    <mergeCell ref="C31:D32"/>
    <mergeCell ref="E31:E32"/>
    <mergeCell ref="F31:F32"/>
    <mergeCell ref="G31:G32"/>
    <mergeCell ref="H31:H32"/>
    <mergeCell ref="B4:BD5"/>
    <mergeCell ref="B7:BD8"/>
    <mergeCell ref="H10:U10"/>
    <mergeCell ref="Y10:AI11"/>
    <mergeCell ref="AJ10:BD11"/>
    <mergeCell ref="BH10:CN13"/>
    <mergeCell ref="I11:K11"/>
    <mergeCell ref="O11:P11"/>
    <mergeCell ref="T11:U11"/>
    <mergeCell ref="I12:K12"/>
    <mergeCell ref="O12:P12"/>
    <mergeCell ref="T12:U12"/>
    <mergeCell ref="Y12:AI13"/>
    <mergeCell ref="AJ12:BD13"/>
    <mergeCell ref="I13:K13"/>
    <mergeCell ref="O13:P13"/>
    <mergeCell ref="T13:U13"/>
  </mergeCells>
  <conditionalFormatting sqref="CI33:CI82 CO33:CO82 BT33:BT82 BO33:BO82 CD33:CD82 V33:V82 AA33:AA82 AF33:AF82 AK33:AK82 AP33:AP82 AU33:AU82 BE33:BE82 BJ33:BJ82 AZ33:AZ82 CU33:CU82 DA33:DA82 Q33:Q82">
    <cfRule type="expression" dxfId="102" priority="162">
      <formula>IF(NOT(ISBLANK(Q33)),IF(ISNUMBER(Q33),IF(INT(Q33/10000)&gt;23,TRUE,IF(INT(MOD(Q33,10000)/100)&gt;59.99,TRUE,IF(MOD(Q33,100)&gt;59.99,TRUE,FALSE))),TRUE))</formula>
    </cfRule>
  </conditionalFormatting>
  <conditionalFormatting sqref="BS85:BS86 BX85:BY86 CH85:CH86 U85:U86 Z85:Z86 AJ85:AJ86 AE85:AE86 AO85:AO86 AT85:AT86 AY85:AY86 BD85:BD86 BI85:BI86 BN85:BN86 CC85:CC86 R33:U33 Z33:Z82">
    <cfRule type="expression" dxfId="101" priority="154">
      <formula>IF(R33="л","ЛОЖЬ",IF(R33="в","ЛОЖЬ",IF(ISBLANK(R33),"ЛОЖЬ",TRUE)))</formula>
    </cfRule>
    <cfRule type="expression" dxfId="100" priority="160">
      <formula>IF(R33="в",TRUE,)</formula>
    </cfRule>
    <cfRule type="expression" dxfId="99" priority="161">
      <formula>IF(R33="л",TRUE,)</formula>
    </cfRule>
  </conditionalFormatting>
  <conditionalFormatting sqref="V33:V82">
    <cfRule type="expression" dxfId="98" priority="159">
      <formula>IF(ISNUMBER(V33),IF(((YEAR(TODAY()))-14)&gt;=E33,FALSE,TRUE))</formula>
    </cfRule>
  </conditionalFormatting>
  <conditionalFormatting sqref="Q33:Q82">
    <cfRule type="expression" dxfId="97" priority="158">
      <formula>IF(ISNUMBER(Q33),IF(((YEAR(TODAY()))-12)&gt;=E33,FALSE,TRUE))</formula>
    </cfRule>
  </conditionalFormatting>
  <conditionalFormatting sqref="AZ33:AZ82">
    <cfRule type="expression" dxfId="96" priority="157">
      <formula>IF(ISNUMBER(AZ33),IF(((YEAR(TODAY()))-12)&gt;=E33,FALSE,TRUE))</formula>
    </cfRule>
  </conditionalFormatting>
  <conditionalFormatting sqref="BE33:BE82">
    <cfRule type="expression" dxfId="95" priority="156">
      <formula>IF(ISNUMBER(BE33),IF(((YEAR(TODAY()))-12)&gt;=E33,FALSE,TRUE))</formula>
    </cfRule>
  </conditionalFormatting>
  <conditionalFormatting sqref="BJ33:BJ82">
    <cfRule type="expression" dxfId="94" priority="155">
      <formula>IF(ISNUMBER(BJ33),IF(((YEAR(TODAY()))-12)&gt;=E33,FALSE,TRUE))</formula>
    </cfRule>
  </conditionalFormatting>
  <conditionalFormatting sqref="CO33:CO82 CI33:CI82 DA33:DA82 CU33:CU82">
    <cfRule type="expression" dxfId="93" priority="153">
      <formula>IF(ISBLANK(CI33),FALSE,IF($O33=0,TRUE))</formula>
    </cfRule>
  </conditionalFormatting>
  <conditionalFormatting sqref="M33:P82">
    <cfRule type="expression" dxfId="92" priority="164">
      <formula>IF(M33&gt;($G$11+$G$12-L33),IF((M33+L33)&gt;($G$11+$G$12),TRUE,))</formula>
    </cfRule>
  </conditionalFormatting>
  <conditionalFormatting sqref="O86">
    <cfRule type="expression" dxfId="91" priority="165">
      <formula>IF($O$86&gt;$E$12,TRUE)</formula>
    </cfRule>
  </conditionalFormatting>
  <conditionalFormatting sqref="O85">
    <cfRule type="expression" dxfId="90" priority="166">
      <formula>IF($O$85&gt;$E$11,TRUE)</formula>
    </cfRule>
  </conditionalFormatting>
  <conditionalFormatting sqref="G33:G82">
    <cfRule type="expression" dxfId="89" priority="152">
      <formula>IF(G33="м",FALSE,IF(G33="ж",FALSE,TRUE))</formula>
    </cfRule>
  </conditionalFormatting>
  <conditionalFormatting sqref="DF33:DF82">
    <cfRule type="expression" dxfId="88" priority="151">
      <formula>IF(ISBLANK(DA33),IF(ISBLANK(DF33),FALSE,TRUE),IF(ISNUMBER(DF33),FALSE,TRUE))</formula>
    </cfRule>
  </conditionalFormatting>
  <conditionalFormatting sqref="B33:B82">
    <cfRule type="expression" dxfId="87" priority="167">
      <formula>IF($B33&lt;&gt;$H$11,IF($B33&lt;&gt;$H$12,IF($B33&lt;&gt;$H$13,IF($B33&lt;&gt;$I$11,IF(B33&lt;&gt;$I$12,IF($B33&lt;&gt;$I$13,IF($B33&lt;&gt;$O$11,IF($B33&lt;&gt;$O$12,IF($B33&lt;&gt;$O$13,IF($B33&lt;&gt;$T$11,IF($B33&lt;&gt;$T$12,TRUE)))))))))))</formula>
    </cfRule>
  </conditionalFormatting>
  <conditionalFormatting sqref="BY33:BY82">
    <cfRule type="expression" dxfId="86" priority="150">
      <formula>IF(NOT(ISBLANK(BY33)),IF(ISNUMBER(BY33),IF(INT(BY33/10000)&gt;23,TRUE,IF(INT(MOD(BY33,10000)/100)&gt;59.99,TRUE,IF(MOD(BY33,100)&gt;59.99,TRUE,FALSE))),TRUE))</formula>
    </cfRule>
  </conditionalFormatting>
  <conditionalFormatting sqref="E33:E82">
    <cfRule type="expression" dxfId="85" priority="168">
      <formula>IF(ISBLANK(E33),FALSE,IF(IF(ISNUMBER($G$13),IF(YEAR(TODAY())-$G$13&lt;=E33,FALSE,TRUE),FALSE),TRUE,IF(ISNUMBER($E$13),IF(YEAR(TODAY())-$E$13&lt;E33,TRUE,FALSE),FALSE)))</formula>
    </cfRule>
  </conditionalFormatting>
  <conditionalFormatting sqref="DK33">
    <cfRule type="expression" dxfId="84" priority="169">
      <formula>IF(#REF!&lt;&gt;$H$11,IF(#REF!&lt;&gt;$H$12,IF(#REF!&lt;&gt;$H$13,IF(#REF!&lt;&gt;$I$11,IF(#REF!&lt;&gt;$I$12,IF(#REF!&lt;&gt;$I$13,IF(#REF!&lt;&gt;$O$11,IF(#REF!&lt;&gt;$O$12,IF(#REF!&lt;&gt;$O$13,IF(#REF!&lt;&gt;$T$90,IF(#REF!&lt;&gt;$T$91,TRUE)))))))))))</formula>
    </cfRule>
  </conditionalFormatting>
  <conditionalFormatting sqref="W33:W82">
    <cfRule type="expression" dxfId="83" priority="143">
      <formula>IF(ISNUMBER(W33),IF(((YEAR(TODAY()))-12)&gt;=Q33,FALSE,TRUE))</formula>
    </cfRule>
  </conditionalFormatting>
  <conditionalFormatting sqref="W33:Y82">
    <cfRule type="expression" dxfId="82" priority="144">
      <formula>IF(NOT(ISBLANK(W33)),IF(ISNUMBER(W33),IF(INT(W33/10000)&gt;23,TRUE,IF(INT(MOD(W33,10000)/100)&gt;59.99,TRUE,IF(MOD(W33,100)&gt;59.99,TRUE,FALSE))),TRUE))</formula>
    </cfRule>
  </conditionalFormatting>
  <conditionalFormatting sqref="Y33:Y82">
    <cfRule type="expression" dxfId="81" priority="145">
      <formula>IF(ISNUMBER(Y33),IF(((YEAR(TODAY()))-12)&gt;=Q33,FALSE,TRUE))</formula>
    </cfRule>
  </conditionalFormatting>
  <conditionalFormatting sqref="X33:X82">
    <cfRule type="expression" dxfId="80" priority="146">
      <formula>IF(ISNUMBER(X33),IF(((YEAR(TODAY()))-12)&gt;=Q33,FALSE,TRUE))</formula>
    </cfRule>
  </conditionalFormatting>
  <conditionalFormatting sqref="CN33:CN82 CT33:CT82 CZ33:CZ82">
    <cfRule type="expression" dxfId="79" priority="815">
      <formula>IF(ISBLANK(CI33),IF(ISBLANK(CN33),FALSE,TRUE),IF(ISNUMBER(CN33),FALSE,TRUE))</formula>
    </cfRule>
  </conditionalFormatting>
  <conditionalFormatting sqref="CM85:CM86">
    <cfRule type="expression" dxfId="78" priority="92">
      <formula>IF(CM85="л","ЛОЖЬ",IF(CM85="в","ЛОЖЬ",IF(ISBLANK(CM85),"ЛОЖЬ",TRUE)))</formula>
    </cfRule>
    <cfRule type="expression" dxfId="77" priority="93">
      <formula>IF(CM85="в",TRUE,)</formula>
    </cfRule>
    <cfRule type="expression" dxfId="76" priority="94">
      <formula>IF(CM85="л",TRUE,)</formula>
    </cfRule>
  </conditionalFormatting>
  <conditionalFormatting sqref="CS85:CS86">
    <cfRule type="expression" dxfId="75" priority="85">
      <formula>IF(CS85="л","ЛОЖЬ",IF(CS85="в","ЛОЖЬ",IF(ISBLANK(CS85),"ЛОЖЬ",TRUE)))</formula>
    </cfRule>
    <cfRule type="expression" dxfId="74" priority="86">
      <formula>IF(CS85="в",TRUE,)</formula>
    </cfRule>
    <cfRule type="expression" dxfId="73" priority="87">
      <formula>IF(CS85="л",TRUE,)</formula>
    </cfRule>
  </conditionalFormatting>
  <conditionalFormatting sqref="CY85:CY86">
    <cfRule type="expression" dxfId="72" priority="78">
      <formula>IF(CY85="л","ЛОЖЬ",IF(CY85="в","ЛОЖЬ",IF(ISBLANK(CY85),"ЛОЖЬ",TRUE)))</formula>
    </cfRule>
    <cfRule type="expression" dxfId="71" priority="79">
      <formula>IF(CY85="в",TRUE,)</formula>
    </cfRule>
    <cfRule type="expression" dxfId="70" priority="80">
      <formula>IF(CY85="л",TRUE,)</formula>
    </cfRule>
  </conditionalFormatting>
  <conditionalFormatting sqref="DE85:DE86">
    <cfRule type="expression" dxfId="69" priority="71">
      <formula>IF(DE85="л","ЛОЖЬ",IF(DE85="в","ЛОЖЬ",IF(ISBLANK(DE85),"ЛОЖЬ",TRUE)))</formula>
    </cfRule>
    <cfRule type="expression" dxfId="68" priority="72">
      <formula>IF(DE85="в",TRUE,)</formula>
    </cfRule>
    <cfRule type="expression" dxfId="67" priority="73">
      <formula>IF(DE85="л",TRUE,)</formula>
    </cfRule>
  </conditionalFormatting>
  <conditionalFormatting sqref="DK34:DK43">
    <cfRule type="expression" dxfId="66" priority="818">
      <formula>IF($B33&lt;&gt;$H$11,IF($B33&lt;&gt;$H$12,IF($B33&lt;&gt;$H$13,IF($B33&lt;&gt;$I$11,IF($B33&lt;&gt;$I$12,IF($B33&lt;&gt;$I$13,IF($B33&lt;&gt;$O$11,IF($B33&lt;&gt;$O$12,IF($B33&lt;&gt;$O$13,IF($B33&lt;&gt;$T$90,IF($B33&lt;&gt;$T$91,TRUE)))))))))))</formula>
    </cfRule>
  </conditionalFormatting>
  <conditionalFormatting sqref="M86">
    <cfRule type="expression" dxfId="65" priority="65">
      <formula>IF($O$86&gt;$E$12,TRUE)</formula>
    </cfRule>
  </conditionalFormatting>
  <conditionalFormatting sqref="M85">
    <cfRule type="expression" dxfId="64" priority="66">
      <formula>IF($O$85&gt;$E$11,TRUE)</formula>
    </cfRule>
  </conditionalFormatting>
  <conditionalFormatting sqref="I33:L82">
    <cfRule type="expression" dxfId="63" priority="59">
      <formula>IF(I33&gt;$G$11,TRUE)</formula>
    </cfRule>
  </conditionalFormatting>
  <conditionalFormatting sqref="K86">
    <cfRule type="expression" dxfId="62" priority="61">
      <formula>IF($O$86&gt;$E$12,TRUE)</formula>
    </cfRule>
  </conditionalFormatting>
  <conditionalFormatting sqref="K85">
    <cfRule type="expression" dxfId="61" priority="62">
      <formula>IF($O$85&gt;$E$11,TRUE)</formula>
    </cfRule>
  </conditionalFormatting>
  <conditionalFormatting sqref="I86">
    <cfRule type="expression" dxfId="60" priority="57">
      <formula>IF($O$86&gt;$E$12,TRUE)</formula>
    </cfRule>
  </conditionalFormatting>
  <conditionalFormatting sqref="I85">
    <cfRule type="expression" dxfId="59" priority="58">
      <formula>IF($O$85&gt;$E$11,TRUE)</formula>
    </cfRule>
  </conditionalFormatting>
  <conditionalFormatting sqref="R34:U82">
    <cfRule type="expression" dxfId="58" priority="49">
      <formula>IF(R34="л","ЛОЖЬ",IF(R34="в","ЛОЖЬ",IF(ISBLANK(R34),"ЛОЖЬ",TRUE)))</formula>
    </cfRule>
    <cfRule type="expression" dxfId="57" priority="50">
      <formula>IF(R34="в",TRUE,)</formula>
    </cfRule>
    <cfRule type="expression" dxfId="56" priority="51">
      <formula>IF(R34="л",TRUE,)</formula>
    </cfRule>
  </conditionalFormatting>
  <conditionalFormatting sqref="AB33:AE82">
    <cfRule type="expression" dxfId="55" priority="46">
      <formula>IF(AB33="л","ЛОЖЬ",IF(AB33="в","ЛОЖЬ",IF(ISBLANK(AB33),"ЛОЖЬ",TRUE)))</formula>
    </cfRule>
    <cfRule type="expression" dxfId="54" priority="47">
      <formula>IF(AB33="в",TRUE,)</formula>
    </cfRule>
    <cfRule type="expression" dxfId="53" priority="48">
      <formula>IF(AB33="л",TRUE,)</formula>
    </cfRule>
  </conditionalFormatting>
  <conditionalFormatting sqref="AG33:AJ82">
    <cfRule type="expression" dxfId="52" priority="43">
      <formula>IF(AG33="л","ЛОЖЬ",IF(AG33="в","ЛОЖЬ",IF(ISBLANK(AG33),"ЛОЖЬ",TRUE)))</formula>
    </cfRule>
    <cfRule type="expression" dxfId="51" priority="44">
      <formula>IF(AG33="в",TRUE,)</formula>
    </cfRule>
    <cfRule type="expression" dxfId="50" priority="45">
      <formula>IF(AG33="л",TRUE,)</formula>
    </cfRule>
  </conditionalFormatting>
  <conditionalFormatting sqref="AL33:AO82">
    <cfRule type="expression" dxfId="49" priority="40">
      <formula>IF(AL33="л","ЛОЖЬ",IF(AL33="в","ЛОЖЬ",IF(ISBLANK(AL33),"ЛОЖЬ",TRUE)))</formula>
    </cfRule>
    <cfRule type="expression" dxfId="48" priority="41">
      <formula>IF(AL33="в",TRUE,)</formula>
    </cfRule>
    <cfRule type="expression" dxfId="47" priority="42">
      <formula>IF(AL33="л",TRUE,)</formula>
    </cfRule>
  </conditionalFormatting>
  <conditionalFormatting sqref="AQ33:AT82">
    <cfRule type="expression" dxfId="46" priority="37">
      <formula>IF(AQ33="л","ЛОЖЬ",IF(AQ33="в","ЛОЖЬ",IF(ISBLANK(AQ33),"ЛОЖЬ",TRUE)))</formula>
    </cfRule>
    <cfRule type="expression" dxfId="45" priority="38">
      <formula>IF(AQ33="в",TRUE,)</formula>
    </cfRule>
    <cfRule type="expression" dxfId="44" priority="39">
      <formula>IF(AQ33="л",TRUE,)</formula>
    </cfRule>
  </conditionalFormatting>
  <conditionalFormatting sqref="AV33:AY82">
    <cfRule type="expression" dxfId="43" priority="34">
      <formula>IF(AV33="л","ЛОЖЬ",IF(AV33="в","ЛОЖЬ",IF(ISBLANK(AV33),"ЛОЖЬ",TRUE)))</formula>
    </cfRule>
    <cfRule type="expression" dxfId="42" priority="35">
      <formula>IF(AV33="в",TRUE,)</formula>
    </cfRule>
    <cfRule type="expression" dxfId="41" priority="36">
      <formula>IF(AV33="л",TRUE,)</formula>
    </cfRule>
  </conditionalFormatting>
  <conditionalFormatting sqref="BA33:BD82">
    <cfRule type="expression" dxfId="40" priority="31">
      <formula>IF(BA33="л","ЛОЖЬ",IF(BA33="в","ЛОЖЬ",IF(ISBLANK(BA33),"ЛОЖЬ",TRUE)))</formula>
    </cfRule>
    <cfRule type="expression" dxfId="39" priority="32">
      <formula>IF(BA33="в",TRUE,)</formula>
    </cfRule>
    <cfRule type="expression" dxfId="38" priority="33">
      <formula>IF(BA33="л",TRUE,)</formula>
    </cfRule>
  </conditionalFormatting>
  <conditionalFormatting sqref="BF33:BI82">
    <cfRule type="expression" dxfId="37" priority="28">
      <formula>IF(BF33="л","ЛОЖЬ",IF(BF33="в","ЛОЖЬ",IF(ISBLANK(BF33),"ЛОЖЬ",TRUE)))</formula>
    </cfRule>
    <cfRule type="expression" dxfId="36" priority="29">
      <formula>IF(BF33="в",TRUE,)</formula>
    </cfRule>
    <cfRule type="expression" dxfId="35" priority="30">
      <formula>IF(BF33="л",TRUE,)</formula>
    </cfRule>
  </conditionalFormatting>
  <conditionalFormatting sqref="BK33:BN82">
    <cfRule type="expression" dxfId="34" priority="25">
      <formula>IF(BK33="л","ЛОЖЬ",IF(BK33="в","ЛОЖЬ",IF(ISBLANK(BK33),"ЛОЖЬ",TRUE)))</formula>
    </cfRule>
    <cfRule type="expression" dxfId="33" priority="26">
      <formula>IF(BK33="в",TRUE,)</formula>
    </cfRule>
    <cfRule type="expression" dxfId="32" priority="27">
      <formula>IF(BK33="л",TRUE,)</formula>
    </cfRule>
  </conditionalFormatting>
  <conditionalFormatting sqref="BP33:BS82">
    <cfRule type="expression" dxfId="31" priority="22">
      <formula>IF(BP33="л","ЛОЖЬ",IF(BP33="в","ЛОЖЬ",IF(ISBLANK(BP33),"ЛОЖЬ",TRUE)))</formula>
    </cfRule>
    <cfRule type="expression" dxfId="30" priority="23">
      <formula>IF(BP33="в",TRUE,)</formula>
    </cfRule>
    <cfRule type="expression" dxfId="29" priority="24">
      <formula>IF(BP33="л",TRUE,)</formula>
    </cfRule>
  </conditionalFormatting>
  <conditionalFormatting sqref="BU33:BX82">
    <cfRule type="expression" dxfId="28" priority="19">
      <formula>IF(BU33="л","ЛОЖЬ",IF(BU33="в","ЛОЖЬ",IF(ISBLANK(BU33),"ЛОЖЬ",TRUE)))</formula>
    </cfRule>
    <cfRule type="expression" dxfId="27" priority="20">
      <formula>IF(BU33="в",TRUE,)</formula>
    </cfRule>
    <cfRule type="expression" dxfId="26" priority="21">
      <formula>IF(BU33="л",TRUE,)</formula>
    </cfRule>
  </conditionalFormatting>
  <conditionalFormatting sqref="BZ33:CC82">
    <cfRule type="expression" dxfId="25" priority="16">
      <formula>IF(BZ33="л","ЛОЖЬ",IF(BZ33="в","ЛОЖЬ",IF(ISBLANK(BZ33),"ЛОЖЬ",TRUE)))</formula>
    </cfRule>
    <cfRule type="expression" dxfId="24" priority="17">
      <formula>IF(BZ33="в",TRUE,)</formula>
    </cfRule>
    <cfRule type="expression" dxfId="23" priority="18">
      <formula>IF(BZ33="л",TRUE,)</formula>
    </cfRule>
  </conditionalFormatting>
  <conditionalFormatting sqref="CE33:CH82">
    <cfRule type="expression" dxfId="22" priority="13">
      <formula>IF(CE33="л","ЛОЖЬ",IF(CE33="в","ЛОЖЬ",IF(ISBLANK(CE33),"ЛОЖЬ",TRUE)))</formula>
    </cfRule>
    <cfRule type="expression" dxfId="21" priority="14">
      <formula>IF(CE33="в",TRUE,)</formula>
    </cfRule>
    <cfRule type="expression" dxfId="20" priority="15">
      <formula>IF(CE33="л",TRUE,)</formula>
    </cfRule>
  </conditionalFormatting>
  <conditionalFormatting sqref="CJ33:CM82">
    <cfRule type="expression" dxfId="19" priority="10">
      <formula>IF(CJ33="л","ЛОЖЬ",IF(CJ33="в","ЛОЖЬ",IF(ISBLANK(CJ33),"ЛОЖЬ",TRUE)))</formula>
    </cfRule>
    <cfRule type="expression" dxfId="18" priority="11">
      <formula>IF(CJ33="в",TRUE,)</formula>
    </cfRule>
    <cfRule type="expression" dxfId="17" priority="12">
      <formula>IF(CJ33="л",TRUE,)</formula>
    </cfRule>
  </conditionalFormatting>
  <conditionalFormatting sqref="CP33:CS82">
    <cfRule type="expression" dxfId="16" priority="7">
      <formula>IF(CP33="л","ЛОЖЬ",IF(CP33="в","ЛОЖЬ",IF(ISBLANK(CP33),"ЛОЖЬ",TRUE)))</formula>
    </cfRule>
    <cfRule type="expression" dxfId="15" priority="8">
      <formula>IF(CP33="в",TRUE,)</formula>
    </cfRule>
    <cfRule type="expression" dxfId="14" priority="9">
      <formula>IF(CP33="л",TRUE,)</formula>
    </cfRule>
  </conditionalFormatting>
  <conditionalFormatting sqref="CV33:CY82">
    <cfRule type="expression" dxfId="13" priority="4">
      <formula>IF(CV33="л","ЛОЖЬ",IF(CV33="в","ЛОЖЬ",IF(ISBLANK(CV33),"ЛОЖЬ",TRUE)))</formula>
    </cfRule>
    <cfRule type="expression" dxfId="12" priority="5">
      <formula>IF(CV33="в",TRUE,)</formula>
    </cfRule>
    <cfRule type="expression" dxfId="11" priority="6">
      <formula>IF(CV33="л",TRUE,)</formula>
    </cfRule>
  </conditionalFormatting>
  <conditionalFormatting sqref="DB33:DE82">
    <cfRule type="expression" dxfId="10" priority="1">
      <formula>IF(DB33="л","ЛОЖЬ",IF(DB33="в","ЛОЖЬ",IF(ISBLANK(DB33),"ЛОЖЬ",TRUE)))</formula>
    </cfRule>
    <cfRule type="expression" dxfId="9" priority="2">
      <formula>IF(DB33="в",TRUE,)</formula>
    </cfRule>
    <cfRule type="expression" dxfId="8" priority="3">
      <formula>IF(DB33="л",TRUE,)</formula>
    </cfRule>
  </conditionalFormatting>
  <pageMargins left="0.31496062992125984" right="0.31496062992125984" top="0.55118110236220474" bottom="0.31496062992125984" header="0" footer="0"/>
  <pageSetup paperSize="9" orientation="landscape" verticalDpi="1200" r:id="rId1"/>
  <headerFooter>
    <oddFooter>&amp;R&amp;"Times New Roman,курсив"&amp;8Стр. &amp;P из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Лист24">
    <tabColor theme="1"/>
  </sheetPr>
  <dimension ref="A1:AH478"/>
  <sheetViews>
    <sheetView workbookViewId="0">
      <pane ySplit="3" topLeftCell="A22" activePane="bottomLeft" state="frozen"/>
      <selection pane="bottomLeft" activeCell="M159" sqref="M159"/>
    </sheetView>
  </sheetViews>
  <sheetFormatPr defaultColWidth="9.14453125" defaultRowHeight="13.5"/>
  <cols>
    <col min="1" max="1" width="9.14453125" style="548"/>
    <col min="2" max="2" width="10.0859375" style="539" customWidth="1"/>
    <col min="3" max="3" width="9.953125" style="539" customWidth="1"/>
    <col min="4" max="4" width="10.0859375" style="539" customWidth="1"/>
    <col min="5" max="5" width="9.68359375" style="539" customWidth="1"/>
    <col min="6" max="6" width="9.14453125" style="539"/>
    <col min="7" max="7" width="9.953125" style="539" customWidth="1"/>
    <col min="8" max="8" width="11.97265625" style="539" customWidth="1"/>
    <col min="9" max="9" width="10.625" style="547" customWidth="1"/>
    <col min="10" max="10" width="10.76171875" style="539" customWidth="1"/>
    <col min="11" max="11" width="5.24609375" style="751" customWidth="1"/>
    <col min="12" max="12" width="10.76171875" style="539" customWidth="1"/>
    <col min="13" max="13" width="11.02734375" style="539" customWidth="1"/>
    <col min="14" max="14" width="9.68359375" style="539" customWidth="1"/>
    <col min="15" max="15" width="5.109375" style="539" customWidth="1"/>
    <col min="16" max="17" width="9.28125" style="539" customWidth="1"/>
    <col min="18" max="18" width="13.44921875" style="539" bestFit="1" customWidth="1"/>
    <col min="19" max="19" width="13.046875" style="539" customWidth="1"/>
    <col min="20" max="33" width="6.859375" style="539" customWidth="1"/>
    <col min="34" max="37" width="6.05078125" style="539" customWidth="1"/>
    <col min="38" max="16384" width="9.14453125" style="539"/>
  </cols>
  <sheetData>
    <row r="1" spans="3:34" ht="21">
      <c r="H1" s="1830" t="s">
        <v>982</v>
      </c>
      <c r="I1" s="1830"/>
      <c r="J1" s="1830"/>
      <c r="K1" s="856"/>
      <c r="L1" s="750" t="s">
        <v>983</v>
      </c>
      <c r="M1" s="750"/>
      <c r="N1" s="750"/>
      <c r="O1" s="752"/>
      <c r="P1" s="755"/>
      <c r="Q1" s="756"/>
      <c r="R1" s="755"/>
      <c r="S1" s="756"/>
      <c r="T1" s="755"/>
      <c r="U1" s="756"/>
      <c r="V1" s="755"/>
      <c r="W1" s="756"/>
      <c r="X1" s="756"/>
      <c r="Y1" s="756"/>
      <c r="Z1" s="756"/>
      <c r="AA1" s="756"/>
      <c r="AB1" s="757"/>
      <c r="AC1" s="757"/>
      <c r="AD1" s="757"/>
      <c r="AE1" s="757"/>
      <c r="AF1" s="757"/>
      <c r="AG1" s="757"/>
      <c r="AH1" s="753"/>
    </row>
    <row r="2" spans="3:34" ht="14.25">
      <c r="I2" s="1831" t="s">
        <v>17</v>
      </c>
      <c r="J2" s="1831"/>
      <c r="K2" s="857"/>
      <c r="M2" s="1831" t="s">
        <v>17</v>
      </c>
      <c r="N2" s="1831"/>
      <c r="O2" s="763"/>
      <c r="P2" s="756"/>
      <c r="Q2" s="756"/>
      <c r="R2" s="756"/>
      <c r="S2" s="756"/>
      <c r="T2" s="756"/>
      <c r="U2" s="756"/>
      <c r="V2" s="755"/>
      <c r="W2" s="755"/>
      <c r="X2" s="755"/>
      <c r="Y2" s="755"/>
      <c r="Z2" s="755"/>
      <c r="AA2" s="755"/>
      <c r="AB2" s="755"/>
      <c r="AC2" s="755"/>
      <c r="AD2" s="755"/>
      <c r="AE2" s="755"/>
      <c r="AF2" s="755"/>
      <c r="AG2" s="755"/>
      <c r="AH2" s="753"/>
    </row>
    <row r="3" spans="3:34">
      <c r="I3" s="763" t="s">
        <v>416</v>
      </c>
      <c r="J3" s="763" t="s">
        <v>417</v>
      </c>
      <c r="K3" s="857"/>
      <c r="M3" s="763" t="s">
        <v>416</v>
      </c>
      <c r="N3" s="763" t="s">
        <v>417</v>
      </c>
      <c r="O3" s="763"/>
      <c r="P3" s="744"/>
      <c r="Q3" s="744"/>
      <c r="R3" s="744"/>
      <c r="S3" s="744"/>
      <c r="T3" s="744"/>
      <c r="U3" s="744"/>
      <c r="V3" s="744"/>
      <c r="W3" s="744"/>
      <c r="X3" s="744"/>
      <c r="Y3" s="744"/>
      <c r="Z3" s="744"/>
      <c r="AA3" s="744"/>
      <c r="AB3" s="744"/>
      <c r="AC3" s="744"/>
      <c r="AD3" s="744"/>
      <c r="AE3" s="744"/>
      <c r="AF3" s="744"/>
      <c r="AG3" s="744"/>
      <c r="AH3" s="753"/>
    </row>
    <row r="4" spans="3:34" ht="14.25" customHeight="1">
      <c r="C4" s="524" t="s">
        <v>78</v>
      </c>
      <c r="D4" s="525"/>
      <c r="E4" s="526"/>
      <c r="F4" s="524"/>
      <c r="G4" s="524"/>
      <c r="H4" s="527"/>
      <c r="I4" s="532"/>
      <c r="J4" s="525"/>
      <c r="K4" s="858"/>
      <c r="P4" s="753"/>
      <c r="Q4" s="753"/>
      <c r="R4" s="753"/>
      <c r="S4" s="753"/>
      <c r="T4" s="753"/>
      <c r="U4" s="753"/>
      <c r="V4" s="753"/>
      <c r="W4" s="753"/>
      <c r="X4" s="753"/>
      <c r="Y4" s="753"/>
      <c r="Z4" s="753"/>
      <c r="AA4" s="753"/>
      <c r="AB4" s="753"/>
      <c r="AC4" s="753"/>
      <c r="AD4" s="753"/>
      <c r="AE4" s="753"/>
      <c r="AF4" s="753"/>
      <c r="AG4" s="753"/>
      <c r="AH4" s="753"/>
    </row>
    <row r="5" spans="3:34" ht="12.75" customHeight="1">
      <c r="C5" s="144"/>
      <c r="D5" s="144"/>
      <c r="E5" s="144"/>
      <c r="F5" s="144"/>
      <c r="G5" s="144"/>
      <c r="H5" s="145">
        <v>18.100000000000001</v>
      </c>
      <c r="I5" s="540" t="str">
        <f t="shared" ref="I5:I12" si="0">IF(ISBLANK(H5)," ",IF(ISTEXT(H5)," ",IF(H5&lt;=18.1,"МСМК",IF(H5&lt;=19,"МС",IF(H5&lt;=19.9,"КМС",IF(H5&lt;=21.3,"I",IF(H5&lt;=23.1,"II",IF(H5&lt;=25,"III",IF(H5&lt;=27.6,"I юн",IF(H5&lt;=30.2,"II юн",IF(H5&lt;=32.6,"III юн",IF(ISTEXT(H5)," ",IF(ISBLANK(H5)," ","б/р")))))))))))))</f>
        <v>МСМК</v>
      </c>
      <c r="J5" s="540" t="str">
        <f t="shared" ref="J5:J12" si="1">IF(ISBLANK(H5)," ",IF(ISTEXT(H5)," ",IF(H5&lt;=18.1,"МСМК",IF(H5&lt;=19,"МС",IF(H5&lt;=19.9,"КМС",IF(H5&lt;=21.3,"I",IF(H5&lt;=23.1,"II",IF(H5&lt;=25,"III",IF(H5&lt;=27.6,"I юн",IF(H5&lt;=30.2,"II юн",IF(H5&lt;=32.6,"III юн",IF(ISTEXT(H5)," ",IF(ISBLANK(H5)," ","б/р")))))))))))))</f>
        <v>МСМК</v>
      </c>
      <c r="K5" s="859"/>
      <c r="L5" s="746">
        <f>H5</f>
        <v>18.100000000000001</v>
      </c>
      <c r="M5" s="747" t="str">
        <f t="shared" ref="M5:M13" si="2">IF(ISBLANK(L5)," ",IF(ISTEXT(L5)," ",IF(L5&lt;=18.1,"МСМК",IF(L5&lt;=19,"МС",IF(L5&lt;=19.7,"КМС",IF(L5&lt;=21.1,"I",IF(L5&lt;=22.9,"II",IF(L5&lt;=24.8,"III",IF(L5&lt;=27.4,"I юн",IF(L5&lt;=30,"II юн",IF(L5&lt;=32.4,"III юн",IF(ISTEXT(L5)," ",IF(ISBLANK(L5)," ","б/р")))))))))))))</f>
        <v>МСМК</v>
      </c>
      <c r="N5" s="747" t="str">
        <f>IF(ISBLANK(L5)," ",IF(ISTEXT(L5)," ",IF(L5&lt;=18.1,"МСМК",IF(L5&lt;=19,"МС",IF(L5&lt;=19.7,"КМС",IF(L5&lt;=21.1,"I",IF(L5&lt;=22.9,"II",IF(L5&lt;=24.8,"III",IF(L5&lt;=27.4,"I юн",IF(L5&lt;=30,"II юн",IF(L5&lt;=32.4,"III юн",IF(ISTEXT(L5)," ",IF(ISBLANK(L5)," ","б/р")))))))))))))</f>
        <v>МСМК</v>
      </c>
      <c r="O5" s="747"/>
      <c r="P5" s="753"/>
      <c r="Q5" s="753"/>
      <c r="R5" s="753"/>
      <c r="S5" s="753"/>
      <c r="T5" s="753"/>
      <c r="U5" s="753"/>
      <c r="V5" s="753"/>
      <c r="W5" s="753"/>
      <c r="X5" s="753"/>
      <c r="Y5" s="753"/>
      <c r="Z5" s="753"/>
      <c r="AA5" s="753"/>
      <c r="AB5" s="753"/>
      <c r="AC5" s="753"/>
      <c r="AD5" s="753"/>
      <c r="AE5" s="753"/>
      <c r="AF5" s="753"/>
      <c r="AG5" s="753"/>
      <c r="AH5" s="753"/>
    </row>
    <row r="6" spans="3:34" ht="12.75" customHeight="1">
      <c r="C6" s="144"/>
      <c r="D6" s="144"/>
      <c r="E6" s="144"/>
      <c r="F6" s="144"/>
      <c r="G6" s="144"/>
      <c r="H6" s="145">
        <v>19</v>
      </c>
      <c r="I6" s="540" t="str">
        <f t="shared" si="0"/>
        <v>МС</v>
      </c>
      <c r="J6" s="540" t="str">
        <f t="shared" si="1"/>
        <v>МС</v>
      </c>
      <c r="K6" s="859"/>
      <c r="L6" s="746">
        <f>H6</f>
        <v>19</v>
      </c>
      <c r="M6" s="747" t="str">
        <f t="shared" si="2"/>
        <v>МС</v>
      </c>
      <c r="N6" s="747" t="str">
        <f t="shared" ref="N6:N13" si="3">IF(ISBLANK(L6)," ",IF(ISTEXT(L6)," ",IF(L6&lt;=18.1,"МСМК",IF(L6&lt;=19,"МС",IF(L6&lt;=19.7,"КМС",IF(L6&lt;=21.1,"I",IF(L6&lt;=22.9,"II",IF(L6&lt;=24.8,"III",IF(L6&lt;=27.4,"I юн",IF(L6&lt;=30,"II юн",IF(L6&lt;=32.4,"III юн",IF(ISTEXT(L6)," ",IF(ISBLANK(L6)," ","б/р")))))))))))))</f>
        <v>МС</v>
      </c>
      <c r="O6" s="747"/>
      <c r="P6" s="753"/>
      <c r="Q6" s="753"/>
      <c r="R6" s="753"/>
      <c r="S6" s="753"/>
      <c r="T6" s="753"/>
      <c r="U6" s="753"/>
      <c r="V6" s="753"/>
      <c r="W6" s="753"/>
      <c r="X6" s="753"/>
      <c r="Y6" s="753"/>
      <c r="Z6" s="753"/>
      <c r="AA6" s="753"/>
      <c r="AB6" s="753"/>
      <c r="AC6" s="753"/>
      <c r="AD6" s="753"/>
      <c r="AE6" s="753"/>
      <c r="AF6" s="753"/>
      <c r="AG6" s="753"/>
      <c r="AH6" s="753"/>
    </row>
    <row r="7" spans="3:34" ht="12.75" customHeight="1">
      <c r="C7" s="144"/>
      <c r="D7" s="144"/>
      <c r="E7" s="144"/>
      <c r="F7" s="144"/>
      <c r="G7" s="144"/>
      <c r="H7" s="145">
        <v>19.899999999999999</v>
      </c>
      <c r="I7" s="540" t="str">
        <f t="shared" si="0"/>
        <v>КМС</v>
      </c>
      <c r="J7" s="540" t="str">
        <f t="shared" si="1"/>
        <v>КМС</v>
      </c>
      <c r="K7" s="859"/>
      <c r="L7" s="145">
        <f>H7-0.2</f>
        <v>19.7</v>
      </c>
      <c r="M7" s="540" t="str">
        <f>IF(ISBLANK(L7)," ",IF(ISTEXT(L7)," ",IF(L7&lt;=18.1,"МСМК",IF(L7&lt;=19,"МС",IF(L7&lt;=19.7,"КМС",IF(L7&lt;=21.1,"I",IF(L7&lt;=22.9,"II",IF(L7&lt;=24.8,"III",IF(L7&lt;=27.4,"I юн",IF(L7&lt;=30,"II юн",IF(L7&lt;=32.4,"III юн",IF(ISTEXT(L7)," ",IF(ISBLANK(L7)," ","б/р")))))))))))))</f>
        <v>КМС</v>
      </c>
      <c r="N7" s="540" t="str">
        <f t="shared" si="3"/>
        <v>КМС</v>
      </c>
      <c r="O7" s="540"/>
      <c r="P7" s="753"/>
      <c r="Q7" s="753"/>
      <c r="R7" s="753"/>
      <c r="S7" s="753"/>
      <c r="T7" s="753"/>
      <c r="U7" s="753"/>
      <c r="V7" s="753"/>
      <c r="W7" s="753"/>
      <c r="X7" s="753"/>
      <c r="Y7" s="753"/>
      <c r="Z7" s="753"/>
      <c r="AA7" s="753"/>
      <c r="AB7" s="753"/>
      <c r="AC7" s="753"/>
      <c r="AD7" s="753"/>
      <c r="AE7" s="753"/>
      <c r="AF7" s="753"/>
      <c r="AG7" s="753"/>
      <c r="AH7" s="753"/>
    </row>
    <row r="8" spans="3:34" ht="12.75" customHeight="1">
      <c r="C8" s="144"/>
      <c r="D8" s="144"/>
      <c r="E8" s="144"/>
      <c r="F8" s="144"/>
      <c r="G8" s="144"/>
      <c r="H8" s="145">
        <v>21.3</v>
      </c>
      <c r="I8" s="540" t="str">
        <f t="shared" si="0"/>
        <v>I</v>
      </c>
      <c r="J8" s="540" t="str">
        <f t="shared" si="1"/>
        <v>I</v>
      </c>
      <c r="K8" s="859"/>
      <c r="L8" s="145">
        <f t="shared" ref="L8:L13" si="4">H8-0.2</f>
        <v>21.1</v>
      </c>
      <c r="M8" s="540" t="str">
        <f t="shared" si="2"/>
        <v>I</v>
      </c>
      <c r="N8" s="540" t="str">
        <f t="shared" si="3"/>
        <v>I</v>
      </c>
      <c r="O8" s="540"/>
      <c r="P8" s="753"/>
      <c r="Q8" s="753"/>
      <c r="R8" s="145"/>
      <c r="S8" s="540"/>
      <c r="T8" s="540"/>
      <c r="U8" s="753"/>
      <c r="V8" s="753"/>
      <c r="W8" s="753"/>
      <c r="X8" s="753"/>
      <c r="Y8" s="753"/>
      <c r="Z8" s="753"/>
      <c r="AA8" s="753"/>
      <c r="AB8" s="753"/>
      <c r="AC8" s="753"/>
      <c r="AD8" s="753"/>
      <c r="AE8" s="753"/>
      <c r="AF8" s="753"/>
      <c r="AG8" s="753"/>
      <c r="AH8" s="753"/>
    </row>
    <row r="9" spans="3:34" ht="12.75" customHeight="1">
      <c r="C9" s="144"/>
      <c r="D9" s="144"/>
      <c r="E9" s="144"/>
      <c r="F9" s="144"/>
      <c r="G9" s="144"/>
      <c r="H9" s="145">
        <v>23.1</v>
      </c>
      <c r="I9" s="540" t="str">
        <f t="shared" si="0"/>
        <v>II</v>
      </c>
      <c r="J9" s="540" t="str">
        <f t="shared" si="1"/>
        <v>II</v>
      </c>
      <c r="K9" s="859"/>
      <c r="L9" s="145">
        <f t="shared" si="4"/>
        <v>22.900000000000002</v>
      </c>
      <c r="M9" s="540" t="str">
        <f t="shared" si="2"/>
        <v>II</v>
      </c>
      <c r="N9" s="540" t="str">
        <f t="shared" si="3"/>
        <v>II</v>
      </c>
      <c r="O9" s="540"/>
      <c r="P9" s="753"/>
      <c r="Q9" s="753"/>
      <c r="R9" s="145"/>
      <c r="S9" s="753"/>
      <c r="T9" s="753"/>
      <c r="U9" s="753"/>
      <c r="V9" s="753"/>
      <c r="W9" s="753"/>
      <c r="X9" s="753"/>
      <c r="Y9" s="753"/>
      <c r="Z9" s="753"/>
      <c r="AA9" s="753"/>
      <c r="AB9" s="753"/>
      <c r="AC9" s="753"/>
      <c r="AD9" s="753"/>
      <c r="AE9" s="753"/>
      <c r="AF9" s="753"/>
      <c r="AG9" s="753"/>
      <c r="AH9" s="753"/>
    </row>
    <row r="10" spans="3:34" ht="12.75" customHeight="1">
      <c r="C10" s="144"/>
      <c r="D10" s="144"/>
      <c r="E10" s="144"/>
      <c r="F10" s="144"/>
      <c r="G10" s="144"/>
      <c r="H10" s="145">
        <v>25</v>
      </c>
      <c r="I10" s="540" t="str">
        <f t="shared" si="0"/>
        <v>III</v>
      </c>
      <c r="J10" s="540" t="str">
        <f t="shared" si="1"/>
        <v>III</v>
      </c>
      <c r="K10" s="859"/>
      <c r="L10" s="145">
        <f t="shared" si="4"/>
        <v>24.8</v>
      </c>
      <c r="M10" s="540" t="str">
        <f t="shared" si="2"/>
        <v>III</v>
      </c>
      <c r="N10" s="540" t="str">
        <f t="shared" si="3"/>
        <v>III</v>
      </c>
      <c r="O10" s="540"/>
      <c r="P10" s="753"/>
      <c r="Q10" s="753"/>
      <c r="R10" s="753"/>
      <c r="S10" s="753"/>
      <c r="T10" s="753"/>
      <c r="U10" s="753"/>
      <c r="V10" s="753"/>
      <c r="W10" s="753"/>
      <c r="X10" s="753"/>
      <c r="Y10" s="753"/>
      <c r="Z10" s="753"/>
      <c r="AA10" s="753"/>
      <c r="AB10" s="753"/>
      <c r="AC10" s="753"/>
      <c r="AD10" s="753"/>
      <c r="AE10" s="753"/>
      <c r="AF10" s="753"/>
      <c r="AG10" s="753"/>
      <c r="AH10" s="753"/>
    </row>
    <row r="11" spans="3:34" ht="12.75" customHeight="1">
      <c r="C11" s="144"/>
      <c r="D11" s="144"/>
      <c r="E11" s="144"/>
      <c r="F11" s="144"/>
      <c r="G11" s="144"/>
      <c r="H11" s="145">
        <v>27.6</v>
      </c>
      <c r="I11" s="540" t="str">
        <f t="shared" si="0"/>
        <v>I юн</v>
      </c>
      <c r="J11" s="540" t="str">
        <f t="shared" si="1"/>
        <v>I юн</v>
      </c>
      <c r="K11" s="859"/>
      <c r="L11" s="145">
        <f t="shared" si="4"/>
        <v>27.400000000000002</v>
      </c>
      <c r="M11" s="540" t="str">
        <f t="shared" si="2"/>
        <v>I юн</v>
      </c>
      <c r="N11" s="540" t="str">
        <f t="shared" si="3"/>
        <v>I юн</v>
      </c>
      <c r="O11" s="540"/>
      <c r="P11" s="753"/>
      <c r="Q11" s="753"/>
      <c r="R11" s="753"/>
      <c r="S11" s="753"/>
      <c r="T11" s="753"/>
      <c r="U11" s="753"/>
      <c r="V11" s="753"/>
      <c r="W11" s="753"/>
      <c r="X11" s="753"/>
      <c r="Y11" s="753"/>
      <c r="Z11" s="753"/>
      <c r="AA11" s="753"/>
      <c r="AB11" s="753"/>
      <c r="AC11" s="753"/>
      <c r="AD11" s="753"/>
      <c r="AE11" s="753"/>
      <c r="AF11" s="753"/>
      <c r="AG11" s="753"/>
      <c r="AH11" s="753"/>
    </row>
    <row r="12" spans="3:34" ht="12.75" customHeight="1">
      <c r="C12" s="144"/>
      <c r="D12" s="144"/>
      <c r="E12" s="144"/>
      <c r="F12" s="144"/>
      <c r="G12" s="144"/>
      <c r="H12" s="145">
        <v>30.2</v>
      </c>
      <c r="I12" s="540" t="str">
        <f t="shared" si="0"/>
        <v>II юн</v>
      </c>
      <c r="J12" s="540" t="str">
        <f t="shared" si="1"/>
        <v>II юн</v>
      </c>
      <c r="K12" s="859"/>
      <c r="L12" s="145">
        <f t="shared" si="4"/>
        <v>30</v>
      </c>
      <c r="M12" s="540" t="str">
        <f t="shared" si="2"/>
        <v>II юн</v>
      </c>
      <c r="N12" s="540" t="str">
        <f t="shared" si="3"/>
        <v>II юн</v>
      </c>
      <c r="O12" s="540"/>
      <c r="P12" s="753"/>
      <c r="Q12" s="753"/>
      <c r="R12" s="753"/>
      <c r="S12" s="753"/>
      <c r="T12" s="753"/>
      <c r="U12" s="753"/>
      <c r="V12" s="753"/>
      <c r="W12" s="753"/>
      <c r="X12" s="753"/>
      <c r="Y12" s="753"/>
      <c r="Z12" s="753"/>
      <c r="AA12" s="753"/>
      <c r="AB12" s="753"/>
      <c r="AC12" s="753"/>
      <c r="AD12" s="753"/>
      <c r="AE12" s="753"/>
      <c r="AF12" s="753"/>
      <c r="AG12" s="753"/>
      <c r="AH12" s="753"/>
    </row>
    <row r="13" spans="3:34" ht="12.75" customHeight="1">
      <c r="C13" s="144"/>
      <c r="D13" s="144"/>
      <c r="E13" s="144"/>
      <c r="F13" s="144"/>
      <c r="G13" s="144"/>
      <c r="H13" s="145">
        <v>32.6</v>
      </c>
      <c r="I13" s="540" t="str">
        <f>IF(ISBLANK(H13)," ",IF(ISTEXT(H13)," ",IF(H13&lt;=18.1,"МСМК",IF(H13&lt;=19,"МС",IF(H13&lt;=19.9,"КМС",IF(H13&lt;=21.3,"I",IF(H13&lt;=23.1,"II",IF(H13&lt;=25,"III",IF(H13&lt;=27.6,"I юн",IF(H13&lt;=30.2,"II юн",IF(H13&lt;=32.6,"III юн",IF(ISTEXT(H13)," ",IF(ISBLANK(H13)," ","б/р")))))))))))))</f>
        <v>III юн</v>
      </c>
      <c r="J13" s="540" t="str">
        <f>IF(ISBLANK(H13)," ",IF(ISTEXT(H13)," ",IF(H13&lt;=18.1,"МСМК",IF(H13&lt;=19,"МС",IF(H13&lt;=19.9,"КМС",IF(H13&lt;=21.3,"I",IF(H13&lt;=23.1,"II",IF(H13&lt;=25,"III",IF(H13&lt;=27.6,"I юн",IF(H13&lt;=30.2,"II юн",IF(H13&lt;=32.6,"III юн",IF(ISTEXT(H13)," ",IF(ISBLANK(H13)," ","б/р")))))))))))))</f>
        <v>III юн</v>
      </c>
      <c r="K13" s="859"/>
      <c r="L13" s="145">
        <f t="shared" si="4"/>
        <v>32.4</v>
      </c>
      <c r="M13" s="540" t="str">
        <f t="shared" si="2"/>
        <v>III юн</v>
      </c>
      <c r="N13" s="540" t="str">
        <f t="shared" si="3"/>
        <v>III юн</v>
      </c>
      <c r="O13" s="540"/>
      <c r="P13" s="753"/>
      <c r="Q13" s="753"/>
      <c r="R13" s="753"/>
      <c r="S13" s="753"/>
      <c r="T13" s="753"/>
      <c r="U13" s="753"/>
      <c r="V13" s="753"/>
      <c r="W13" s="753"/>
      <c r="X13" s="753"/>
      <c r="Y13" s="753"/>
      <c r="Z13" s="753"/>
      <c r="AA13" s="753"/>
      <c r="AB13" s="753"/>
      <c r="AC13" s="753"/>
      <c r="AD13" s="753"/>
      <c r="AE13" s="753"/>
      <c r="AF13" s="753"/>
      <c r="AG13" s="753"/>
      <c r="AH13" s="753"/>
    </row>
    <row r="14" spans="3:34" ht="12.75" customHeight="1">
      <c r="C14" s="144"/>
      <c r="D14" s="144"/>
      <c r="E14" s="144"/>
      <c r="F14" s="144"/>
      <c r="G14" s="144"/>
      <c r="H14" s="146"/>
      <c r="I14" s="540" t="str">
        <f>IF(ISBLANK(H14)," ",IF(ISTEXT(H14)," ",IF(H14&lt;=18.1,"МСМК",IF(H14&lt;=19,"МС",IF(H14&lt;=19.9,"КМС",IF(H14&lt;=21.3,"I",IF(H14&lt;=23.1,"II",IF(H14&lt;=25,"III",IF(ISTEXT(H14)," ",IF(ISBLANK(H14)," ","б/р"))))))))))</f>
        <v xml:space="preserve"> </v>
      </c>
      <c r="J14" s="540" t="str">
        <f>IF(ISBLANK(H14)," ",IF(ISTEXT(H14)," ",IF(H14&lt;=18.1,"МСМК",IF(H14&lt;=19,"МС",IF(H14&lt;=19.9,"КМС",IF(H14&lt;=21.3,"I",IF(H14&lt;=23.1,"II",IF(H14&lt;=25,"III",IF(ISTEXT(H14)," ",IF(ISBLANK(H14)," ","б/р"))))))))))</f>
        <v xml:space="preserve"> </v>
      </c>
      <c r="K14" s="859"/>
      <c r="P14" s="743"/>
      <c r="Q14" s="743"/>
      <c r="R14" s="743"/>
      <c r="S14" s="145"/>
      <c r="T14" s="540"/>
      <c r="U14" s="540"/>
      <c r="V14" s="743"/>
      <c r="W14" s="743"/>
      <c r="X14" s="743"/>
      <c r="Y14" s="743"/>
      <c r="Z14" s="743"/>
      <c r="AA14" s="743"/>
      <c r="AB14" s="742"/>
      <c r="AC14" s="742"/>
      <c r="AD14" s="742"/>
      <c r="AE14" s="742"/>
      <c r="AF14" s="742"/>
      <c r="AG14" s="742"/>
      <c r="AH14" s="753"/>
    </row>
    <row r="15" spans="3:34" ht="14.25" customHeight="1">
      <c r="C15" s="524" t="s">
        <v>125</v>
      </c>
      <c r="D15" s="525"/>
      <c r="E15" s="526"/>
      <c r="F15" s="524"/>
      <c r="G15" s="524"/>
      <c r="H15" s="527"/>
      <c r="I15" s="541"/>
      <c r="J15" s="542"/>
      <c r="K15" s="860"/>
      <c r="P15" s="742"/>
      <c r="Q15" s="742"/>
      <c r="R15" s="742"/>
      <c r="S15" s="742"/>
      <c r="T15" s="742"/>
      <c r="U15" s="742"/>
      <c r="V15" s="742"/>
      <c r="W15" s="742"/>
      <c r="X15" s="742"/>
      <c r="Y15" s="742"/>
      <c r="Z15" s="742"/>
      <c r="AA15" s="742"/>
      <c r="AB15" s="742"/>
      <c r="AC15" s="742"/>
      <c r="AD15" s="742"/>
      <c r="AE15" s="742"/>
      <c r="AF15" s="742"/>
      <c r="AG15" s="742"/>
      <c r="AH15" s="753"/>
    </row>
    <row r="16" spans="3:34">
      <c r="C16" s="542"/>
      <c r="D16" s="542"/>
      <c r="E16" s="542"/>
      <c r="F16" s="542"/>
      <c r="G16" s="542"/>
      <c r="H16" s="146">
        <v>15.9</v>
      </c>
      <c r="I16" s="540" t="str">
        <f t="shared" ref="I16:I23" si="5">IF(ISBLANK(H16)," ",IF(ISTEXT(H16)," ",IF(H16&lt;=15.9,"МСМК",IF(H16&lt;=16.9,"МС",IF(H16&lt;=17.8,"КМС",IF(H16&lt;=18.7,"I",IF(H16&lt;=20.3,"II",IF(H16&lt;=22.1,"III",IF(H16&lt;=24.2,"I юн",IF(H16&lt;=26.4,"II юн",IF(H16&lt;=28.6,"III юн","б/р")))))))))))</f>
        <v>МСМК</v>
      </c>
      <c r="J16" s="540" t="str">
        <f t="shared" ref="J16:J23" si="6">IF(ISBLANK(H16)," ",IF(ISTEXT(H16)," ",IF(H16&lt;=15.9,"МСМК",IF(H16&lt;=16.9,"МС",IF(H16&lt;=17.8,"КМС",IF(H16&lt;=18.7,"I",IF(H16&lt;=20.3,"II",IF(H16&lt;=22.1,"III",IF(H16&lt;=24.2,"I юн",IF(H16&lt;=26.4,"II юн",IF(H16&lt;=28.6,"III юн","б/р")))))))))))</f>
        <v>МСМК</v>
      </c>
      <c r="K16" s="859"/>
      <c r="L16" s="748">
        <f>H16</f>
        <v>15.9</v>
      </c>
      <c r="M16" s="747" t="str">
        <f>IF(ISBLANK(L16)," ",IF(ISTEXT(L16)," ",IF(L16&lt;=15.9,"МСМК",IF(L16&lt;=16.9,"МС",IF(L16&lt;=17.6,"КМС",IF(L16&lt;=18.5,"I",IF(L16&lt;=20.1,"II",IF(L16&lt;=21.9,"III",IF(L16&lt;=24,"I юн",IF(L16&lt;=26.2,"II юн",IF(L16&lt;=28.4,"III юн","б/р")))))))))))</f>
        <v>МСМК</v>
      </c>
      <c r="N16" s="747" t="str">
        <f>IF(ISBLANK(L16)," ",IF(ISTEXT(L16)," ",IF(L16&lt;=15.9,"МСМК",IF(L16&lt;=16.9,"МС",IF(L16&lt;=17.6,"КМС",IF(L16&lt;=18.5,"I",IF(L16&lt;=20.1,"II",IF(L16&lt;=21.9,"III",IF(L16&lt;=24,"I юн",IF(L16&lt;=26.2,"II юн",IF(L16&lt;=28.4,"III юн","б/р")))))))))))</f>
        <v>МСМК</v>
      </c>
      <c r="O16" s="747"/>
      <c r="P16" s="753"/>
      <c r="Q16" s="753"/>
      <c r="R16" s="753"/>
      <c r="S16" s="753"/>
      <c r="T16" s="753"/>
      <c r="U16" s="753"/>
      <c r="V16" s="753"/>
      <c r="W16" s="753"/>
      <c r="X16" s="753"/>
      <c r="Y16" s="753"/>
      <c r="Z16" s="753"/>
      <c r="AA16" s="753"/>
      <c r="AB16" s="753"/>
      <c r="AC16" s="753"/>
      <c r="AD16" s="753"/>
      <c r="AE16" s="753"/>
      <c r="AF16" s="753"/>
      <c r="AG16" s="753"/>
      <c r="AH16" s="753"/>
    </row>
    <row r="17" spans="3:34">
      <c r="C17" s="762"/>
      <c r="D17" s="531"/>
      <c r="E17" s="586"/>
      <c r="F17" s="762"/>
      <c r="G17" s="762"/>
      <c r="H17" s="146">
        <v>16.899999999999999</v>
      </c>
      <c r="I17" s="540" t="str">
        <f t="shared" si="5"/>
        <v>МС</v>
      </c>
      <c r="J17" s="540" t="str">
        <f t="shared" si="6"/>
        <v>МС</v>
      </c>
      <c r="K17" s="859"/>
      <c r="L17" s="748">
        <f>H17</f>
        <v>16.899999999999999</v>
      </c>
      <c r="M17" s="747" t="str">
        <f>IF(ISBLANK(L17)," ",IF(ISTEXT(L17)," ",IF(L17&lt;=15.9,"МСМК",IF(L17&lt;=16.9,"МС",IF(L17&lt;=17.6,"КМС",IF(L17&lt;=18.5,"I",IF(L17&lt;=20.1,"II",IF(L17&lt;=21.9,"III",IF(L17&lt;=24,"I юн",IF(L17&lt;=26.2,"II юн",IF(L17&lt;=28.4,"III юн","б/р")))))))))))</f>
        <v>МС</v>
      </c>
      <c r="N17" s="747" t="str">
        <f t="shared" ref="N17:N24" si="7">IF(ISBLANK(L17)," ",IF(ISTEXT(L17)," ",IF(L17&lt;=15.9,"МСМК",IF(L17&lt;=16.9,"МС",IF(L17&lt;=17.6,"КМС",IF(L17&lt;=18.5,"I",IF(L17&lt;=20.1,"II",IF(L17&lt;=21.9,"III",IF(L17&lt;=24,"I юн",IF(L17&lt;=26.2,"II юн",IF(L17&lt;=28.4,"III юн","б/р")))))))))))</f>
        <v>МС</v>
      </c>
      <c r="O17" s="747"/>
      <c r="P17" s="753"/>
      <c r="Q17" s="753"/>
      <c r="R17" s="753"/>
      <c r="S17" s="753"/>
      <c r="T17" s="753"/>
      <c r="U17" s="753"/>
      <c r="V17" s="753"/>
      <c r="W17" s="753"/>
      <c r="X17" s="753"/>
      <c r="Y17" s="753"/>
      <c r="Z17" s="753"/>
      <c r="AA17" s="753"/>
      <c r="AB17" s="753"/>
      <c r="AC17" s="753"/>
      <c r="AD17" s="753"/>
      <c r="AE17" s="753"/>
      <c r="AF17" s="753"/>
      <c r="AG17" s="753"/>
      <c r="AH17" s="753"/>
    </row>
    <row r="18" spans="3:34">
      <c r="C18" s="762"/>
      <c r="D18" s="531"/>
      <c r="E18" s="586"/>
      <c r="F18" s="762"/>
      <c r="G18" s="762"/>
      <c r="H18" s="146">
        <v>17.8</v>
      </c>
      <c r="I18" s="540" t="str">
        <f t="shared" si="5"/>
        <v>КМС</v>
      </c>
      <c r="J18" s="540" t="str">
        <f t="shared" si="6"/>
        <v>КМС</v>
      </c>
      <c r="K18" s="859"/>
      <c r="L18" s="146">
        <f>H18-0.2</f>
        <v>17.600000000000001</v>
      </c>
      <c r="M18" s="540" t="str">
        <f>IF(ISBLANK(L18)," ",IF(ISTEXT(L18)," ",IF(L18&lt;=15.9,"МСМК",IF(L18&lt;=16.9,"МС",IF(L18&lt;=17.6,"КМС",IF(L18&lt;=18.5,"I",IF(L18&lt;=20.1,"II",IF(L18&lt;=21.9,"III",IF(L18&lt;=24,"I юн",IF(L18&lt;=26.2,"II юн",IF(L18&lt;=28.4,"III юн","б/р")))))))))))</f>
        <v>КМС</v>
      </c>
      <c r="N18" s="540" t="str">
        <f t="shared" si="7"/>
        <v>КМС</v>
      </c>
      <c r="O18" s="540"/>
      <c r="P18" s="753"/>
      <c r="Q18" s="753"/>
      <c r="R18" s="753"/>
      <c r="S18" s="753"/>
      <c r="T18" s="753"/>
      <c r="U18" s="753"/>
      <c r="V18" s="753"/>
      <c r="W18" s="753"/>
      <c r="X18" s="753"/>
      <c r="Y18" s="753"/>
      <c r="Z18" s="753"/>
      <c r="AA18" s="753"/>
      <c r="AB18" s="753"/>
      <c r="AC18" s="753"/>
      <c r="AD18" s="753"/>
      <c r="AE18" s="753"/>
      <c r="AF18" s="753"/>
      <c r="AG18" s="753"/>
      <c r="AH18" s="753"/>
    </row>
    <row r="19" spans="3:34">
      <c r="C19" s="762"/>
      <c r="D19" s="531"/>
      <c r="E19" s="586"/>
      <c r="F19" s="762"/>
      <c r="G19" s="762"/>
      <c r="H19" s="146">
        <v>18.7</v>
      </c>
      <c r="I19" s="540" t="str">
        <f t="shared" si="5"/>
        <v>I</v>
      </c>
      <c r="J19" s="540" t="str">
        <f t="shared" si="6"/>
        <v>I</v>
      </c>
      <c r="K19" s="859"/>
      <c r="L19" s="146">
        <f t="shared" ref="L19:L24" si="8">H19-0.2</f>
        <v>18.5</v>
      </c>
      <c r="M19" s="540" t="str">
        <f t="shared" ref="M19:M24" si="9">IF(ISBLANK(L19)," ",IF(ISTEXT(L19)," ",IF(L19&lt;=15.9,"МСМК",IF(L19&lt;=16.9,"МС",IF(L19&lt;=17.6,"КМС",IF(L19&lt;=18.5,"I",IF(L19&lt;=20.1,"II",IF(L19&lt;=21.9,"III",IF(L19&lt;=24,"I юн",IF(L19&lt;=26.2,"II юн",IF(L19&lt;=28.4,"III юн","б/р")))))))))))</f>
        <v>I</v>
      </c>
      <c r="N19" s="540" t="str">
        <f t="shared" si="7"/>
        <v>I</v>
      </c>
      <c r="O19" s="540"/>
      <c r="P19" s="753"/>
      <c r="Q19" s="753"/>
      <c r="R19" s="753"/>
      <c r="S19" s="753"/>
      <c r="T19" s="753"/>
      <c r="U19" s="753"/>
      <c r="V19" s="753"/>
      <c r="W19" s="753"/>
      <c r="X19" s="753"/>
      <c r="Y19" s="753"/>
      <c r="Z19" s="753"/>
      <c r="AA19" s="753"/>
      <c r="AB19" s="753"/>
      <c r="AC19" s="753"/>
      <c r="AD19" s="753"/>
      <c r="AE19" s="753"/>
      <c r="AF19" s="753"/>
      <c r="AG19" s="753"/>
      <c r="AH19" s="753"/>
    </row>
    <row r="20" spans="3:34">
      <c r="C20" s="762"/>
      <c r="D20" s="531"/>
      <c r="E20" s="586"/>
      <c r="F20" s="762"/>
      <c r="G20" s="762"/>
      <c r="H20" s="146">
        <v>20.3</v>
      </c>
      <c r="I20" s="540" t="str">
        <f t="shared" si="5"/>
        <v>II</v>
      </c>
      <c r="J20" s="540" t="str">
        <f t="shared" si="6"/>
        <v>II</v>
      </c>
      <c r="K20" s="859"/>
      <c r="L20" s="146">
        <f t="shared" si="8"/>
        <v>20.100000000000001</v>
      </c>
      <c r="M20" s="540" t="str">
        <f t="shared" si="9"/>
        <v>II</v>
      </c>
      <c r="N20" s="540" t="str">
        <f t="shared" si="7"/>
        <v>II</v>
      </c>
      <c r="O20" s="540"/>
      <c r="P20" s="753"/>
      <c r="Q20" s="753"/>
      <c r="R20" s="753"/>
      <c r="S20" s="753"/>
      <c r="T20" s="753"/>
      <c r="U20" s="753"/>
      <c r="V20" s="753"/>
      <c r="W20" s="753"/>
      <c r="X20" s="753"/>
      <c r="Y20" s="753"/>
      <c r="Z20" s="753"/>
      <c r="AA20" s="753"/>
      <c r="AB20" s="753"/>
      <c r="AC20" s="753"/>
      <c r="AD20" s="753"/>
      <c r="AE20" s="753"/>
      <c r="AF20" s="753"/>
      <c r="AG20" s="753"/>
      <c r="AH20" s="753"/>
    </row>
    <row r="21" spans="3:34">
      <c r="C21" s="762"/>
      <c r="D21" s="531"/>
      <c r="E21" s="586"/>
      <c r="F21" s="762"/>
      <c r="G21" s="762"/>
      <c r="H21" s="146">
        <v>22.1</v>
      </c>
      <c r="I21" s="540" t="str">
        <f t="shared" si="5"/>
        <v>III</v>
      </c>
      <c r="J21" s="540" t="str">
        <f t="shared" si="6"/>
        <v>III</v>
      </c>
      <c r="K21" s="859"/>
      <c r="L21" s="146">
        <f t="shared" si="8"/>
        <v>21.900000000000002</v>
      </c>
      <c r="M21" s="540" t="str">
        <f t="shared" si="9"/>
        <v>III</v>
      </c>
      <c r="N21" s="540" t="str">
        <f t="shared" si="7"/>
        <v>III</v>
      </c>
      <c r="O21" s="540"/>
      <c r="P21" s="753"/>
      <c r="Q21" s="753"/>
      <c r="R21" s="753"/>
      <c r="S21" s="753"/>
      <c r="T21" s="753"/>
      <c r="U21" s="753"/>
      <c r="V21" s="753"/>
      <c r="W21" s="753"/>
      <c r="X21" s="753"/>
      <c r="Y21" s="753"/>
      <c r="Z21" s="753"/>
      <c r="AA21" s="753"/>
      <c r="AB21" s="753"/>
      <c r="AC21" s="753"/>
      <c r="AD21" s="753"/>
      <c r="AE21" s="753"/>
      <c r="AF21" s="753"/>
      <c r="AG21" s="753"/>
      <c r="AH21" s="753"/>
    </row>
    <row r="22" spans="3:34">
      <c r="C22" s="762"/>
      <c r="D22" s="531"/>
      <c r="E22" s="586"/>
      <c r="F22" s="762"/>
      <c r="G22" s="762"/>
      <c r="H22" s="145">
        <v>24.2</v>
      </c>
      <c r="I22" s="540" t="str">
        <f t="shared" si="5"/>
        <v>I юн</v>
      </c>
      <c r="J22" s="540" t="str">
        <f t="shared" si="6"/>
        <v>I юн</v>
      </c>
      <c r="K22" s="859"/>
      <c r="L22" s="146">
        <f t="shared" si="8"/>
        <v>24</v>
      </c>
      <c r="M22" s="540" t="str">
        <f t="shared" si="9"/>
        <v>I юн</v>
      </c>
      <c r="N22" s="540" t="str">
        <f t="shared" si="7"/>
        <v>I юн</v>
      </c>
      <c r="O22" s="540"/>
      <c r="P22" s="753"/>
      <c r="Q22" s="753"/>
      <c r="R22" s="753"/>
      <c r="S22" s="753"/>
      <c r="T22" s="753"/>
      <c r="U22" s="753"/>
      <c r="V22" s="753"/>
      <c r="W22" s="753"/>
      <c r="X22" s="753"/>
      <c r="Y22" s="753"/>
      <c r="Z22" s="753"/>
      <c r="AA22" s="753"/>
      <c r="AB22" s="753"/>
      <c r="AC22" s="753"/>
      <c r="AD22" s="753"/>
      <c r="AE22" s="753"/>
      <c r="AF22" s="753"/>
      <c r="AG22" s="753"/>
      <c r="AH22" s="753"/>
    </row>
    <row r="23" spans="3:34">
      <c r="C23" s="762"/>
      <c r="D23" s="531"/>
      <c r="E23" s="586"/>
      <c r="F23" s="762"/>
      <c r="G23" s="762"/>
      <c r="H23" s="145">
        <v>26.4</v>
      </c>
      <c r="I23" s="540" t="str">
        <f t="shared" si="5"/>
        <v>II юн</v>
      </c>
      <c r="J23" s="540" t="str">
        <f t="shared" si="6"/>
        <v>II юн</v>
      </c>
      <c r="K23" s="859"/>
      <c r="L23" s="146">
        <f t="shared" si="8"/>
        <v>26.2</v>
      </c>
      <c r="M23" s="540" t="str">
        <f t="shared" si="9"/>
        <v>II юн</v>
      </c>
      <c r="N23" s="540" t="str">
        <f t="shared" si="7"/>
        <v>II юн</v>
      </c>
      <c r="O23" s="540"/>
      <c r="P23" s="753"/>
      <c r="Q23" s="753"/>
      <c r="R23" s="753"/>
      <c r="S23" s="753"/>
      <c r="T23" s="753"/>
      <c r="U23" s="753"/>
      <c r="V23" s="753"/>
      <c r="W23" s="753"/>
      <c r="X23" s="753"/>
      <c r="Y23" s="753"/>
      <c r="Z23" s="753"/>
      <c r="AA23" s="753"/>
      <c r="AB23" s="753"/>
      <c r="AC23" s="753"/>
      <c r="AD23" s="753"/>
      <c r="AE23" s="753"/>
      <c r="AF23" s="753"/>
      <c r="AG23" s="753"/>
      <c r="AH23" s="753"/>
    </row>
    <row r="24" spans="3:34">
      <c r="C24" s="762"/>
      <c r="D24" s="531"/>
      <c r="E24" s="586"/>
      <c r="F24" s="762"/>
      <c r="G24" s="762"/>
      <c r="H24" s="145">
        <v>28.6</v>
      </c>
      <c r="I24" s="540" t="str">
        <f>IF(ISBLANK(H24)," ",IF(ISTEXT(H24)," ",IF(H24&lt;=15.9,"МСМК",IF(H24&lt;=16.9,"МС",IF(H24&lt;=17.8,"КМС",IF(H24&lt;=18.7,"I",IF(H24&lt;=20.3,"II",IF(H24&lt;=22.1,"III",IF(H24&lt;=24.2,"I юн",IF(H24&lt;=26.4,"II юн",IF(H24&lt;=28.6,"III юн","б/р")))))))))))</f>
        <v>III юн</v>
      </c>
      <c r="J24" s="540" t="str">
        <f>IF(ISBLANK(H24)," ",IF(ISTEXT(H24)," ",IF(H24&lt;=15.9,"МСМК",IF(H24&lt;=16.9,"МС",IF(H24&lt;=17.8,"КМС",IF(H24&lt;=18.7,"I",IF(H24&lt;=20.3,"II",IF(H24&lt;=22.1,"III",IF(H24&lt;=24.2,"I юн",IF(H24&lt;=26.4,"II юн",IF(H24&lt;=28.6,"III юн","б/р")))))))))))</f>
        <v>III юн</v>
      </c>
      <c r="K24" s="859"/>
      <c r="L24" s="146">
        <f t="shared" si="8"/>
        <v>28.400000000000002</v>
      </c>
      <c r="M24" s="540" t="str">
        <f t="shared" si="9"/>
        <v>III юн</v>
      </c>
      <c r="N24" s="540" t="str">
        <f t="shared" si="7"/>
        <v>III юн</v>
      </c>
      <c r="O24" s="540"/>
      <c r="P24" s="753"/>
      <c r="Q24" s="753"/>
      <c r="R24" s="753"/>
      <c r="S24" s="753"/>
      <c r="T24" s="753"/>
      <c r="U24" s="753"/>
      <c r="V24" s="753"/>
      <c r="W24" s="753"/>
      <c r="X24" s="753"/>
      <c r="Y24" s="753"/>
      <c r="Z24" s="753"/>
      <c r="AA24" s="753"/>
      <c r="AB24" s="753"/>
      <c r="AC24" s="753"/>
      <c r="AD24" s="753"/>
      <c r="AE24" s="753"/>
      <c r="AF24" s="753"/>
      <c r="AG24" s="753"/>
      <c r="AH24" s="753"/>
    </row>
    <row r="25" spans="3:34">
      <c r="C25" s="542"/>
      <c r="D25" s="542"/>
      <c r="E25" s="542"/>
      <c r="F25" s="542"/>
      <c r="G25" s="542"/>
      <c r="H25" s="532"/>
      <c r="I25" s="540" t="str">
        <f>IF(ISBLANK(H25)," ",IF(ISTEXT(H25)," ",IF(H25&lt;=14.7,"МСМК",IF(H25&lt;=15.4,"МС",IF(H25&lt;=16.2,"КМС",IF(H25&lt;=17.3,"I",IF(H25&lt;=18.8,"II",IF(H25&lt;=20.4,"III","б/р"))))))))</f>
        <v xml:space="preserve"> </v>
      </c>
      <c r="J25" s="531" t="str">
        <f>IF(ISBLANK(H25)," ",IF(ISTEXT(H25)," ",IF(H25&lt;=14.7,"МСМК",IF(H25&lt;=15.4,"МС",IF(H25&lt;=16.2,"КМС",IF(H25&lt;=17.3,"I",IF(H25&lt;=18.8,"II",IF(H25&lt;=20.4,"III","б/р"))))))))</f>
        <v xml:space="preserve"> </v>
      </c>
      <c r="K25" s="859"/>
      <c r="P25" s="753"/>
      <c r="Q25" s="753"/>
      <c r="R25" s="753"/>
      <c r="S25" s="753"/>
      <c r="T25" s="753"/>
      <c r="U25" s="753"/>
      <c r="V25" s="753"/>
      <c r="W25" s="753"/>
      <c r="X25" s="753"/>
      <c r="Y25" s="753"/>
      <c r="Z25" s="753"/>
      <c r="AA25" s="753"/>
      <c r="AB25" s="753"/>
      <c r="AC25" s="753"/>
      <c r="AD25" s="753"/>
      <c r="AE25" s="753"/>
      <c r="AF25" s="753"/>
      <c r="AG25" s="753"/>
      <c r="AH25" s="753"/>
    </row>
    <row r="26" spans="3:34">
      <c r="C26" s="524" t="s">
        <v>145</v>
      </c>
      <c r="D26" s="542"/>
      <c r="E26" s="542"/>
      <c r="F26" s="542"/>
      <c r="G26" s="542"/>
      <c r="H26" s="541"/>
      <c r="I26" s="541"/>
      <c r="J26" s="542"/>
      <c r="K26" s="860"/>
      <c r="P26" s="753"/>
      <c r="Q26" s="753"/>
      <c r="R26" s="753"/>
      <c r="S26" s="753"/>
      <c r="T26" s="753"/>
      <c r="U26" s="753"/>
      <c r="V26" s="753"/>
      <c r="W26" s="753"/>
      <c r="X26" s="753"/>
      <c r="Y26" s="753"/>
      <c r="Z26" s="753"/>
      <c r="AA26" s="753"/>
      <c r="AB26" s="753"/>
      <c r="AC26" s="753"/>
      <c r="AD26" s="753"/>
      <c r="AE26" s="753"/>
      <c r="AF26" s="753"/>
      <c r="AG26" s="753"/>
      <c r="AH26" s="753"/>
    </row>
    <row r="27" spans="3:34">
      <c r="C27" s="542"/>
      <c r="D27" s="542"/>
      <c r="E27" s="542"/>
      <c r="F27" s="542"/>
      <c r="G27" s="542"/>
      <c r="H27" s="532">
        <v>22.3</v>
      </c>
      <c r="I27" s="540" t="str">
        <f t="shared" ref="I27:I34" si="10">IF(ISBLANK(H27)," ",IF(ISTEXT(H27)," ",IF(H27&lt;=22.3,"МСМК",IF(H27&lt;=23.7,"МС",IF(H27&lt;=24.8,"КМС",IF(H27&lt;=26.6,"I",IF(H27&lt;=28.2,"II",IF(H27&lt;=30.7,"III",IF(H27&lt;=33.7,"I юн",IF(H27&lt;=36.9,"II юн",IF(H27&lt;=40,"III юн","б/р")))))))))))</f>
        <v>МСМК</v>
      </c>
      <c r="J27" s="540" t="str">
        <f t="shared" ref="J27:J34" si="11">IF(ISBLANK(H27)," ",IF(ISTEXT(H27)," ",IF(H27&lt;=22.3,"МСМК",IF(H27&lt;=23.7,"МС",IF(H27&lt;=24.8,"КМС",IF(H27&lt;=26.6,"I",IF(H27&lt;=28.2,"II",IF(H27&lt;=30.7,"III",IF(H27&lt;=33.7,"I юн",IF(H27&lt;=36.9,"II юн",IF(H27&lt;=40,"III юн","б/р")))))))))))</f>
        <v>МСМК</v>
      </c>
      <c r="K27" s="859"/>
      <c r="L27" s="749">
        <f>H27</f>
        <v>22.3</v>
      </c>
      <c r="M27" s="747" t="str">
        <f t="shared" ref="M27:M34" si="12">IF(ISBLANK(L27)," ",IF(ISTEXT(L27)," ",IF(L27&lt;=22.3,"МСМК",IF(L27&lt;=23.7,"МС",IF(L27&lt;=24.6,"КМС",IF(L27&lt;=26.4,"I",IF(L27&lt;=28,"II",IF(L27&lt;=30.5,"III",IF(L27&lt;=33.5,"I юн",IF(L27&lt;=36.7,"II юн",IF(L27&lt;=39.8,"III юн","б/р")))))))))))</f>
        <v>МСМК</v>
      </c>
      <c r="N27" s="747" t="str">
        <f t="shared" ref="N27:N34" si="13">IF(ISBLANK(L27)," ",IF(ISTEXT(L27)," ",IF(L27&lt;=22.3,"МСМК",IF(L27&lt;=23.7,"МС",IF(L27&lt;=24.6,"КМС",IF(L27&lt;=26.4,"I",IF(L27&lt;=28,"II",IF(L27&lt;=30.5,"III",IF(L27&lt;=33.5,"I юн",IF(L27&lt;=36.7,"II юн",IF(L27&lt;=39.8,"III юн","б/р")))))))))))</f>
        <v>МСМК</v>
      </c>
      <c r="O27" s="747"/>
      <c r="P27" s="753"/>
      <c r="Q27" s="753"/>
      <c r="R27" s="753"/>
      <c r="S27" s="753"/>
      <c r="T27" s="753"/>
      <c r="U27" s="753"/>
      <c r="V27" s="753"/>
      <c r="W27" s="753"/>
      <c r="X27" s="753"/>
      <c r="Y27" s="753"/>
      <c r="Z27" s="753"/>
      <c r="AA27" s="753"/>
      <c r="AB27" s="753"/>
      <c r="AC27" s="753"/>
      <c r="AD27" s="753"/>
      <c r="AE27" s="753"/>
      <c r="AF27" s="753"/>
      <c r="AG27" s="753"/>
      <c r="AH27" s="753"/>
    </row>
    <row r="28" spans="3:34">
      <c r="C28" s="542"/>
      <c r="D28" s="542"/>
      <c r="E28" s="542"/>
      <c r="F28" s="542"/>
      <c r="G28" s="542"/>
      <c r="H28" s="532">
        <v>23.7</v>
      </c>
      <c r="I28" s="540" t="str">
        <f t="shared" si="10"/>
        <v>МС</v>
      </c>
      <c r="J28" s="540" t="str">
        <f t="shared" si="11"/>
        <v>МС</v>
      </c>
      <c r="K28" s="859"/>
      <c r="L28" s="749">
        <f>H28</f>
        <v>23.7</v>
      </c>
      <c r="M28" s="747" t="str">
        <f t="shared" si="12"/>
        <v>МС</v>
      </c>
      <c r="N28" s="747" t="str">
        <f t="shared" si="13"/>
        <v>МС</v>
      </c>
      <c r="O28" s="747"/>
      <c r="P28" s="753"/>
      <c r="Q28" s="753"/>
      <c r="R28" s="753"/>
      <c r="S28" s="753"/>
      <c r="T28" s="753"/>
      <c r="U28" s="753"/>
      <c r="V28" s="753"/>
      <c r="W28" s="753"/>
      <c r="X28" s="753"/>
      <c r="Y28" s="753"/>
      <c r="Z28" s="753"/>
      <c r="AA28" s="753"/>
      <c r="AB28" s="753"/>
      <c r="AC28" s="753"/>
      <c r="AD28" s="753"/>
      <c r="AE28" s="753"/>
      <c r="AF28" s="753"/>
      <c r="AG28" s="753"/>
      <c r="AH28" s="753"/>
    </row>
    <row r="29" spans="3:34">
      <c r="C29" s="542"/>
      <c r="D29" s="542"/>
      <c r="E29" s="542"/>
      <c r="F29" s="542"/>
      <c r="G29" s="542"/>
      <c r="H29" s="532">
        <v>24.8</v>
      </c>
      <c r="I29" s="540" t="str">
        <f t="shared" si="10"/>
        <v>КМС</v>
      </c>
      <c r="J29" s="540" t="str">
        <f t="shared" si="11"/>
        <v>КМС</v>
      </c>
      <c r="K29" s="859"/>
      <c r="L29" s="532">
        <f>H29-0.2</f>
        <v>24.6</v>
      </c>
      <c r="M29" s="540" t="str">
        <f t="shared" si="12"/>
        <v>КМС</v>
      </c>
      <c r="N29" s="540" t="str">
        <f t="shared" si="13"/>
        <v>КМС</v>
      </c>
      <c r="O29" s="540"/>
      <c r="P29" s="753"/>
      <c r="Q29" s="753"/>
      <c r="R29" s="753"/>
      <c r="S29" s="753"/>
      <c r="T29" s="753"/>
      <c r="U29" s="753"/>
      <c r="V29" s="753"/>
      <c r="W29" s="753"/>
      <c r="X29" s="753"/>
      <c r="Y29" s="753"/>
      <c r="Z29" s="753"/>
      <c r="AA29" s="753"/>
      <c r="AB29" s="753"/>
      <c r="AC29" s="753"/>
      <c r="AD29" s="753"/>
      <c r="AE29" s="753"/>
      <c r="AF29" s="753"/>
      <c r="AG29" s="753"/>
      <c r="AH29" s="753"/>
    </row>
    <row r="30" spans="3:34">
      <c r="C30" s="542"/>
      <c r="D30" s="542"/>
      <c r="E30" s="542"/>
      <c r="F30" s="542"/>
      <c r="G30" s="542"/>
      <c r="H30" s="532">
        <v>26.6</v>
      </c>
      <c r="I30" s="540" t="str">
        <f t="shared" si="10"/>
        <v>I</v>
      </c>
      <c r="J30" s="540" t="str">
        <f t="shared" si="11"/>
        <v>I</v>
      </c>
      <c r="K30" s="859"/>
      <c r="L30" s="532">
        <f t="shared" ref="L30:L35" si="14">H30-0.2</f>
        <v>26.400000000000002</v>
      </c>
      <c r="M30" s="540" t="str">
        <f t="shared" si="12"/>
        <v>I</v>
      </c>
      <c r="N30" s="540" t="str">
        <f t="shared" si="13"/>
        <v>I</v>
      </c>
      <c r="O30" s="540"/>
      <c r="P30" s="753"/>
      <c r="Q30" s="753"/>
      <c r="R30" s="753"/>
      <c r="S30" s="753"/>
      <c r="T30" s="753"/>
      <c r="U30" s="753"/>
      <c r="V30" s="753"/>
      <c r="W30" s="753"/>
      <c r="X30" s="753"/>
      <c r="Y30" s="753"/>
      <c r="Z30" s="753"/>
      <c r="AA30" s="753"/>
      <c r="AB30" s="753"/>
      <c r="AC30" s="753"/>
      <c r="AD30" s="753"/>
      <c r="AE30" s="753"/>
      <c r="AF30" s="753"/>
      <c r="AG30" s="753"/>
      <c r="AH30" s="753"/>
    </row>
    <row r="31" spans="3:34">
      <c r="C31" s="542"/>
      <c r="D31" s="542"/>
      <c r="E31" s="542"/>
      <c r="F31" s="542"/>
      <c r="G31" s="542"/>
      <c r="H31" s="532">
        <v>28.2</v>
      </c>
      <c r="I31" s="540" t="str">
        <f t="shared" si="10"/>
        <v>II</v>
      </c>
      <c r="J31" s="540" t="str">
        <f t="shared" si="11"/>
        <v>II</v>
      </c>
      <c r="K31" s="859"/>
      <c r="L31" s="532">
        <f t="shared" si="14"/>
        <v>28</v>
      </c>
      <c r="M31" s="540" t="str">
        <f t="shared" si="12"/>
        <v>II</v>
      </c>
      <c r="N31" s="540" t="str">
        <f t="shared" si="13"/>
        <v>II</v>
      </c>
      <c r="O31" s="540"/>
      <c r="P31" s="753"/>
      <c r="Q31" s="753"/>
      <c r="R31" s="753"/>
      <c r="S31" s="753"/>
      <c r="T31" s="753"/>
      <c r="U31" s="753"/>
      <c r="V31" s="753"/>
      <c r="W31" s="753"/>
      <c r="X31" s="753"/>
      <c r="Y31" s="753"/>
      <c r="Z31" s="753"/>
      <c r="AA31" s="753"/>
      <c r="AB31" s="753"/>
      <c r="AC31" s="753"/>
      <c r="AD31" s="753"/>
      <c r="AE31" s="753"/>
      <c r="AF31" s="753"/>
      <c r="AG31" s="753"/>
      <c r="AH31" s="753"/>
    </row>
    <row r="32" spans="3:34">
      <c r="C32" s="542"/>
      <c r="D32" s="542"/>
      <c r="E32" s="542"/>
      <c r="F32" s="542"/>
      <c r="G32" s="542"/>
      <c r="H32" s="532">
        <v>30.7</v>
      </c>
      <c r="I32" s="540" t="str">
        <f t="shared" si="10"/>
        <v>III</v>
      </c>
      <c r="J32" s="540" t="str">
        <f t="shared" si="11"/>
        <v>III</v>
      </c>
      <c r="K32" s="859"/>
      <c r="L32" s="532">
        <f t="shared" si="14"/>
        <v>30.5</v>
      </c>
      <c r="M32" s="540" t="str">
        <f t="shared" si="12"/>
        <v>III</v>
      </c>
      <c r="N32" s="540" t="str">
        <f t="shared" si="13"/>
        <v>III</v>
      </c>
      <c r="O32" s="540"/>
      <c r="P32" s="753"/>
      <c r="Q32" s="753"/>
      <c r="R32" s="753"/>
      <c r="S32" s="753"/>
      <c r="T32" s="753"/>
      <c r="U32" s="753"/>
      <c r="V32" s="753"/>
      <c r="W32" s="753"/>
      <c r="X32" s="753"/>
      <c r="Y32" s="753"/>
      <c r="Z32" s="753"/>
      <c r="AA32" s="753"/>
      <c r="AB32" s="753"/>
      <c r="AC32" s="753"/>
      <c r="AD32" s="753"/>
      <c r="AE32" s="753"/>
      <c r="AF32" s="753"/>
      <c r="AG32" s="753"/>
      <c r="AH32" s="753"/>
    </row>
    <row r="33" spans="3:34">
      <c r="C33" s="542"/>
      <c r="D33" s="542"/>
      <c r="E33" s="542"/>
      <c r="F33" s="542"/>
      <c r="G33" s="542"/>
      <c r="H33" s="145">
        <v>33.700000000000003</v>
      </c>
      <c r="I33" s="540" t="str">
        <f t="shared" si="10"/>
        <v>I юн</v>
      </c>
      <c r="J33" s="540" t="str">
        <f t="shared" si="11"/>
        <v>I юн</v>
      </c>
      <c r="K33" s="859"/>
      <c r="L33" s="532">
        <f t="shared" si="14"/>
        <v>33.5</v>
      </c>
      <c r="M33" s="540" t="str">
        <f t="shared" si="12"/>
        <v>I юн</v>
      </c>
      <c r="N33" s="540" t="str">
        <f t="shared" si="13"/>
        <v>I юн</v>
      </c>
      <c r="O33" s="540"/>
      <c r="P33" s="753"/>
      <c r="Q33" s="753"/>
      <c r="R33" s="753"/>
      <c r="S33" s="753"/>
      <c r="T33" s="753"/>
      <c r="U33" s="753"/>
      <c r="V33" s="753"/>
      <c r="W33" s="753"/>
      <c r="X33" s="753"/>
      <c r="Y33" s="753"/>
      <c r="Z33" s="753"/>
      <c r="AA33" s="753"/>
      <c r="AB33" s="753"/>
      <c r="AC33" s="753"/>
      <c r="AD33" s="753"/>
      <c r="AE33" s="753"/>
      <c r="AF33" s="753"/>
      <c r="AG33" s="753"/>
      <c r="AH33" s="753"/>
    </row>
    <row r="34" spans="3:34">
      <c r="C34" s="542"/>
      <c r="D34" s="542"/>
      <c r="E34" s="542"/>
      <c r="F34" s="542"/>
      <c r="G34" s="542"/>
      <c r="H34" s="145">
        <v>36.9</v>
      </c>
      <c r="I34" s="540" t="str">
        <f t="shared" si="10"/>
        <v>II юн</v>
      </c>
      <c r="J34" s="540" t="str">
        <f t="shared" si="11"/>
        <v>II юн</v>
      </c>
      <c r="K34" s="859"/>
      <c r="L34" s="532">
        <f t="shared" si="14"/>
        <v>36.699999999999996</v>
      </c>
      <c r="M34" s="540" t="str">
        <f t="shared" si="12"/>
        <v>II юн</v>
      </c>
      <c r="N34" s="540" t="str">
        <f t="shared" si="13"/>
        <v>II юн</v>
      </c>
      <c r="O34" s="540"/>
      <c r="P34" s="753"/>
      <c r="Q34" s="753"/>
      <c r="R34" s="753"/>
      <c r="S34" s="753"/>
      <c r="T34" s="753"/>
      <c r="U34" s="753"/>
      <c r="V34" s="753"/>
      <c r="W34" s="753"/>
      <c r="X34" s="753"/>
      <c r="Y34" s="753"/>
      <c r="Z34" s="753"/>
      <c r="AA34" s="753"/>
      <c r="AB34" s="753"/>
      <c r="AC34" s="753"/>
      <c r="AD34" s="753"/>
      <c r="AE34" s="753"/>
      <c r="AF34" s="753"/>
      <c r="AG34" s="753"/>
      <c r="AH34" s="753"/>
    </row>
    <row r="35" spans="3:34">
      <c r="C35" s="542"/>
      <c r="D35" s="542"/>
      <c r="E35" s="542"/>
      <c r="F35" s="542"/>
      <c r="G35" s="542"/>
      <c r="H35" s="145">
        <v>40</v>
      </c>
      <c r="I35" s="540" t="str">
        <f>IF(ISBLANK(H35)," ",IF(ISTEXT(H35)," ",IF(H35&lt;=22.3,"МСМК",IF(H35&lt;=23.7,"МС",IF(H35&lt;=24.8,"КМС",IF(H35&lt;=26.6,"I",IF(H35&lt;=28.2,"II",IF(H35&lt;=30.7,"III",IF(H35&lt;=33.7,"I юн",IF(H35&lt;=36.9,"II юн",IF(H35&lt;=40,"III юн","б/р")))))))))))</f>
        <v>III юн</v>
      </c>
      <c r="J35" s="540" t="str">
        <f>IF(ISBLANK(H35)," ",IF(ISTEXT(H35)," ",IF(H35&lt;=22.3,"МСМК",IF(H35&lt;=23.7,"МС",IF(H35&lt;=24.8,"КМС",IF(H35&lt;=26.6,"I",IF(H35&lt;=28.2,"II",IF(H35&lt;=30.7,"III",IF(H35&lt;=33.7,"I юн",IF(H35&lt;=36.9,"II юн",IF(H35&lt;=40,"III юн","б/р")))))))))))</f>
        <v>III юн</v>
      </c>
      <c r="K35" s="859"/>
      <c r="L35" s="532">
        <f t="shared" si="14"/>
        <v>39.799999999999997</v>
      </c>
      <c r="M35" s="540" t="str">
        <f>IF(ISBLANK(L35)," ",IF(ISTEXT(L35)," ",IF(L35&lt;=22.3,"МСМК",IF(L35&lt;=23.7,"МС",IF(L35&lt;=24.6,"КМС",IF(L35&lt;=26.4,"I",IF(L35&lt;=28,"II",IF(L35&lt;=30.5,"III",IF(L35&lt;=33.5,"I юн",IF(L35&lt;=36.7,"II юн",IF(L35&lt;=39.8,"III юн","б/р")))))))))))</f>
        <v>III юн</v>
      </c>
      <c r="N35" s="540" t="str">
        <f>IF(ISBLANK(L35)," ",IF(ISTEXT(L35)," ",IF(L35&lt;=22.3,"МСМК",IF(L35&lt;=23.7,"МС",IF(L35&lt;=24.6,"КМС",IF(L35&lt;=26.4,"I",IF(L35&lt;=28,"II",IF(L35&lt;=30.5,"III",IF(L35&lt;=33.5,"I юн",IF(L35&lt;=36.7,"II юн",IF(L35&lt;=39.8,"III юн","б/р")))))))))))</f>
        <v>III юн</v>
      </c>
      <c r="O35" s="540"/>
      <c r="P35" s="753"/>
      <c r="Q35" s="753"/>
      <c r="R35" s="753"/>
      <c r="S35" s="753"/>
      <c r="T35" s="753"/>
      <c r="U35" s="753"/>
      <c r="V35" s="753"/>
      <c r="W35" s="753"/>
      <c r="X35" s="753"/>
      <c r="Y35" s="753"/>
      <c r="Z35" s="753"/>
      <c r="AA35" s="753"/>
      <c r="AB35" s="753"/>
      <c r="AC35" s="753"/>
      <c r="AD35" s="753"/>
      <c r="AE35" s="753"/>
      <c r="AF35" s="753"/>
      <c r="AG35" s="753"/>
      <c r="AH35" s="753"/>
    </row>
    <row r="36" spans="3:34">
      <c r="C36" s="542"/>
      <c r="D36" s="542"/>
      <c r="E36" s="542"/>
      <c r="F36" s="542"/>
      <c r="G36" s="542"/>
      <c r="H36" s="541"/>
      <c r="I36" s="540" t="str">
        <f>IF(ISBLANK(H36)," ",IF(ISTEXT(H36)," ",IF(H36&lt;=22.8,"МСМК",IF(H36&lt;=24.1,"МС",IF(H36&lt;=25.2,"КМС",IF(H36&lt;=26.8,"I",IF(H36&lt;=28.7,"II",IF(H36&lt;=31,"III","б/р"))))))))</f>
        <v xml:space="preserve"> </v>
      </c>
      <c r="J36" s="531" t="str">
        <f>IF(ISBLANK(H36)," ",IF(ISTEXT(H36)," ",IF(H36&lt;=22.8,"МСМК",IF(H36&lt;=24.1,"МС",IF(H36&lt;=25.2,"КМС",IF(H36&lt;=26.8,"I",IF(H36&lt;=28.7,"II",IF(H36&lt;=31,"III","б/р"))))))))</f>
        <v xml:space="preserve"> </v>
      </c>
      <c r="K36" s="859"/>
      <c r="P36" s="743"/>
      <c r="Q36" s="743"/>
      <c r="R36" s="743"/>
      <c r="S36" s="743"/>
      <c r="T36" s="743"/>
      <c r="U36" s="743"/>
      <c r="V36" s="743"/>
      <c r="W36" s="743"/>
      <c r="X36" s="743"/>
      <c r="Y36" s="743"/>
      <c r="Z36" s="743"/>
      <c r="AA36" s="743"/>
      <c r="AB36" s="743"/>
      <c r="AC36" s="743"/>
      <c r="AD36" s="743"/>
      <c r="AE36" s="743"/>
      <c r="AF36" s="742"/>
      <c r="AG36" s="743"/>
      <c r="AH36" s="753"/>
    </row>
    <row r="37" spans="3:34">
      <c r="C37" s="524" t="s">
        <v>146</v>
      </c>
      <c r="D37" s="542"/>
      <c r="E37" s="542"/>
      <c r="F37" s="542"/>
      <c r="G37" s="542"/>
      <c r="H37" s="541"/>
      <c r="I37" s="541"/>
      <c r="J37" s="542"/>
      <c r="K37" s="860"/>
      <c r="P37" s="742"/>
      <c r="Q37" s="742"/>
      <c r="R37" s="742"/>
      <c r="S37" s="742"/>
      <c r="T37" s="742"/>
      <c r="U37" s="742"/>
      <c r="V37" s="742"/>
      <c r="W37" s="742"/>
      <c r="X37" s="742"/>
      <c r="Y37" s="742"/>
      <c r="Z37" s="742"/>
      <c r="AA37" s="742"/>
      <c r="AB37" s="742"/>
      <c r="AC37" s="742"/>
      <c r="AD37" s="742"/>
      <c r="AE37" s="742"/>
      <c r="AF37" s="742"/>
      <c r="AG37" s="742"/>
      <c r="AH37" s="753"/>
    </row>
    <row r="38" spans="3:34">
      <c r="C38" s="542"/>
      <c r="D38" s="542"/>
      <c r="E38" s="542"/>
      <c r="F38" s="542"/>
      <c r="G38" s="542"/>
      <c r="H38" s="532">
        <v>19.399999999999999</v>
      </c>
      <c r="I38" s="540" t="str">
        <f t="shared" ref="I38:I45" si="15">IF(ISBLANK(H38)," ",IF(ISTEXT(H38)," ",IF(H38&lt;=19.4,"МСМК",IF(H38&lt;=20.5,"МС",IF(H38&lt;=21.5,"КМС",IF(H38&lt;=23.2,"I",IF(H38&lt;=25,"II",IF(H38&lt;=26.7,"III",IF(H38&lt;=30,"I юн",IF(H38&lt;=32.6,"II юн",IF(H38&lt;=35.7,"III юн","б/р")))))))))))</f>
        <v>МСМК</v>
      </c>
      <c r="J38" s="540" t="str">
        <f t="shared" ref="J38:J45" si="16">IF(ISBLANK(H38)," ",IF(ISTEXT(H38)," ",IF(H38&lt;=19.4,"МСМК",IF(H38&lt;=20.5,"МС",IF(H38&lt;=21.5,"КМС",IF(H38&lt;=23.2,"I",IF(H38&lt;=25,"II",IF(H38&lt;=26.7,"III",IF(H38&lt;=30,"I юн",IF(H38&lt;=32.6,"II юн",IF(H38&lt;=35.7,"III юн","б/р")))))))))))</f>
        <v>МСМК</v>
      </c>
      <c r="K38" s="859"/>
      <c r="L38" s="749">
        <f>H38</f>
        <v>19.399999999999999</v>
      </c>
      <c r="M38" s="747" t="str">
        <f t="shared" ref="M38:M45" si="17">IF(ISBLANK(L38)," ",IF(ISTEXT(L38)," ",IF(L38&lt;=19.4,"МСМК",IF(L38&lt;=20.5,"МС",IF(L38&lt;=21.3,"КМС",IF(L38&lt;=23,"I",IF(L38&lt;=24.8,"II",IF(L38&lt;=26.5,"III",IF(L38&lt;=29.8,"I юн",IF(L38&lt;=32.4,"II юн",IF(L38&lt;=35.5,"III юн","б/р")))))))))))</f>
        <v>МСМК</v>
      </c>
      <c r="N38" s="747" t="str">
        <f t="shared" ref="N38:N45" si="18">IF(ISBLANK(L38)," ",IF(ISTEXT(L38)," ",IF(L38&lt;=19.4,"МСМК",IF(L38&lt;=20.5,"МС",IF(L38&lt;=21.3,"КМС",IF(L38&lt;=23,"I",IF(L38&lt;=24.8,"II",IF(L38&lt;=26.5,"III",IF(L38&lt;=29.8,"I юн",IF(L38&lt;=32.4,"II юн",IF(L38&lt;=35.5,"III юн","б/р")))))))))))</f>
        <v>МСМК</v>
      </c>
      <c r="O38" s="747"/>
      <c r="P38" s="743"/>
      <c r="Q38" s="743"/>
      <c r="R38" s="743"/>
      <c r="S38" s="743"/>
      <c r="T38" s="743"/>
      <c r="U38" s="743"/>
      <c r="V38" s="743"/>
      <c r="W38" s="743"/>
      <c r="X38" s="743"/>
      <c r="Y38" s="743"/>
      <c r="Z38" s="743"/>
      <c r="AA38" s="743"/>
      <c r="AB38" s="743"/>
      <c r="AC38" s="743"/>
      <c r="AD38" s="743"/>
      <c r="AE38" s="743"/>
      <c r="AF38" s="742"/>
      <c r="AG38" s="743"/>
      <c r="AH38" s="753"/>
    </row>
    <row r="39" spans="3:34">
      <c r="C39" s="542"/>
      <c r="D39" s="542"/>
      <c r="E39" s="542"/>
      <c r="F39" s="542"/>
      <c r="G39" s="542"/>
      <c r="H39" s="532">
        <v>20.5</v>
      </c>
      <c r="I39" s="540" t="str">
        <f t="shared" si="15"/>
        <v>МС</v>
      </c>
      <c r="J39" s="540" t="str">
        <f t="shared" si="16"/>
        <v>МС</v>
      </c>
      <c r="K39" s="859"/>
      <c r="L39" s="749">
        <f>H39</f>
        <v>20.5</v>
      </c>
      <c r="M39" s="747" t="str">
        <f t="shared" si="17"/>
        <v>МС</v>
      </c>
      <c r="N39" s="747" t="str">
        <f t="shared" si="18"/>
        <v>МС</v>
      </c>
      <c r="O39" s="747"/>
      <c r="P39" s="742"/>
      <c r="Q39" s="742"/>
      <c r="R39" s="742"/>
      <c r="S39" s="742"/>
      <c r="T39" s="742"/>
      <c r="U39" s="742"/>
      <c r="V39" s="742"/>
      <c r="W39" s="742"/>
      <c r="X39" s="742"/>
      <c r="Y39" s="742"/>
      <c r="Z39" s="742"/>
      <c r="AA39" s="742"/>
      <c r="AB39" s="742"/>
      <c r="AC39" s="742"/>
      <c r="AD39" s="742"/>
      <c r="AE39" s="742"/>
      <c r="AF39" s="742"/>
      <c r="AG39" s="742"/>
      <c r="AH39" s="753"/>
    </row>
    <row r="40" spans="3:34">
      <c r="C40" s="542"/>
      <c r="D40" s="542"/>
      <c r="E40" s="542"/>
      <c r="F40" s="542"/>
      <c r="G40" s="542"/>
      <c r="H40" s="532">
        <v>21.5</v>
      </c>
      <c r="I40" s="540" t="str">
        <f t="shared" si="15"/>
        <v>КМС</v>
      </c>
      <c r="J40" s="540" t="str">
        <f t="shared" si="16"/>
        <v>КМС</v>
      </c>
      <c r="K40" s="859"/>
      <c r="L40" s="532">
        <f>H40-0.2</f>
        <v>21.3</v>
      </c>
      <c r="M40" s="540" t="str">
        <f t="shared" si="17"/>
        <v>КМС</v>
      </c>
      <c r="N40" s="540" t="str">
        <f t="shared" si="18"/>
        <v>КМС</v>
      </c>
      <c r="O40" s="540"/>
      <c r="P40" s="753"/>
      <c r="Q40" s="753"/>
      <c r="R40" s="753"/>
      <c r="S40" s="753"/>
      <c r="T40" s="753"/>
      <c r="U40" s="753"/>
      <c r="V40" s="753"/>
      <c r="W40" s="753"/>
      <c r="X40" s="753"/>
      <c r="Y40" s="753"/>
      <c r="Z40" s="753"/>
      <c r="AA40" s="753"/>
      <c r="AB40" s="753"/>
      <c r="AC40" s="753"/>
      <c r="AD40" s="753"/>
      <c r="AE40" s="753"/>
      <c r="AF40" s="753"/>
      <c r="AG40" s="753"/>
      <c r="AH40" s="753"/>
    </row>
    <row r="41" spans="3:34">
      <c r="C41" s="542"/>
      <c r="D41" s="542"/>
      <c r="E41" s="542"/>
      <c r="F41" s="542"/>
      <c r="G41" s="542"/>
      <c r="H41" s="532">
        <v>23.2</v>
      </c>
      <c r="I41" s="540" t="str">
        <f t="shared" si="15"/>
        <v>I</v>
      </c>
      <c r="J41" s="540" t="str">
        <f t="shared" si="16"/>
        <v>I</v>
      </c>
      <c r="K41" s="859"/>
      <c r="L41" s="532">
        <f t="shared" ref="L41:L46" si="19">H41-0.2</f>
        <v>23</v>
      </c>
      <c r="M41" s="540" t="str">
        <f t="shared" si="17"/>
        <v>I</v>
      </c>
      <c r="N41" s="540" t="str">
        <f t="shared" si="18"/>
        <v>I</v>
      </c>
      <c r="O41" s="540"/>
      <c r="P41" s="753"/>
      <c r="Q41" s="753"/>
      <c r="R41" s="753"/>
      <c r="S41" s="753"/>
      <c r="T41" s="753"/>
      <c r="U41" s="753"/>
      <c r="V41" s="753"/>
      <c r="W41" s="753"/>
      <c r="X41" s="753"/>
      <c r="Y41" s="753"/>
      <c r="Z41" s="753"/>
      <c r="AA41" s="753"/>
      <c r="AB41" s="753"/>
      <c r="AC41" s="753"/>
      <c r="AD41" s="753"/>
      <c r="AE41" s="753"/>
      <c r="AF41" s="753"/>
      <c r="AG41" s="753"/>
      <c r="AH41" s="753"/>
    </row>
    <row r="42" spans="3:34">
      <c r="C42" s="542"/>
      <c r="D42" s="542"/>
      <c r="E42" s="542"/>
      <c r="F42" s="542"/>
      <c r="G42" s="542"/>
      <c r="H42" s="532">
        <v>25</v>
      </c>
      <c r="I42" s="540" t="str">
        <f t="shared" si="15"/>
        <v>II</v>
      </c>
      <c r="J42" s="540" t="str">
        <f t="shared" si="16"/>
        <v>II</v>
      </c>
      <c r="K42" s="859"/>
      <c r="L42" s="532">
        <f t="shared" si="19"/>
        <v>24.8</v>
      </c>
      <c r="M42" s="540" t="str">
        <f t="shared" si="17"/>
        <v>II</v>
      </c>
      <c r="N42" s="540" t="str">
        <f t="shared" si="18"/>
        <v>II</v>
      </c>
      <c r="O42" s="540"/>
      <c r="P42" s="753"/>
      <c r="Q42" s="753"/>
      <c r="R42" s="753"/>
      <c r="S42" s="753"/>
      <c r="T42" s="753"/>
      <c r="U42" s="753"/>
      <c r="V42" s="753"/>
      <c r="W42" s="753"/>
      <c r="X42" s="753"/>
      <c r="Y42" s="753"/>
      <c r="Z42" s="753"/>
      <c r="AA42" s="753"/>
      <c r="AB42" s="753"/>
      <c r="AC42" s="753"/>
      <c r="AD42" s="753"/>
      <c r="AE42" s="753"/>
      <c r="AF42" s="753"/>
      <c r="AG42" s="753"/>
      <c r="AH42" s="753"/>
    </row>
    <row r="43" spans="3:34">
      <c r="C43" s="542"/>
      <c r="D43" s="542"/>
      <c r="E43" s="542"/>
      <c r="F43" s="542"/>
      <c r="G43" s="542"/>
      <c r="H43" s="532">
        <v>26.7</v>
      </c>
      <c r="I43" s="540" t="str">
        <f t="shared" si="15"/>
        <v>III</v>
      </c>
      <c r="J43" s="540" t="str">
        <f t="shared" si="16"/>
        <v>III</v>
      </c>
      <c r="K43" s="859"/>
      <c r="L43" s="532">
        <f t="shared" si="19"/>
        <v>26.5</v>
      </c>
      <c r="M43" s="540" t="str">
        <f t="shared" si="17"/>
        <v>III</v>
      </c>
      <c r="N43" s="540" t="str">
        <f t="shared" si="18"/>
        <v>III</v>
      </c>
      <c r="O43" s="540"/>
      <c r="P43" s="753"/>
      <c r="Q43" s="753"/>
      <c r="R43" s="753"/>
      <c r="S43" s="753"/>
      <c r="T43" s="753"/>
      <c r="U43" s="753"/>
      <c r="V43" s="753"/>
      <c r="W43" s="753"/>
      <c r="X43" s="753"/>
      <c r="Y43" s="753"/>
      <c r="Z43" s="753"/>
      <c r="AA43" s="753"/>
      <c r="AB43" s="753"/>
      <c r="AC43" s="753"/>
      <c r="AD43" s="753"/>
      <c r="AE43" s="753"/>
      <c r="AF43" s="753"/>
      <c r="AG43" s="753"/>
      <c r="AH43" s="753"/>
    </row>
    <row r="44" spans="3:34">
      <c r="C44" s="542"/>
      <c r="D44" s="542"/>
      <c r="E44" s="542"/>
      <c r="F44" s="542"/>
      <c r="G44" s="542"/>
      <c r="H44" s="145">
        <v>30</v>
      </c>
      <c r="I44" s="540" t="str">
        <f t="shared" si="15"/>
        <v>I юн</v>
      </c>
      <c r="J44" s="540" t="str">
        <f t="shared" si="16"/>
        <v>I юн</v>
      </c>
      <c r="K44" s="859"/>
      <c r="L44" s="532">
        <f t="shared" si="19"/>
        <v>29.8</v>
      </c>
      <c r="M44" s="540" t="str">
        <f t="shared" si="17"/>
        <v>I юн</v>
      </c>
      <c r="N44" s="540" t="str">
        <f t="shared" si="18"/>
        <v>I юн</v>
      </c>
      <c r="O44" s="540"/>
      <c r="P44" s="753"/>
      <c r="Q44" s="753"/>
      <c r="R44" s="753"/>
      <c r="S44" s="753"/>
      <c r="T44" s="753"/>
      <c r="U44" s="753"/>
      <c r="V44" s="753"/>
      <c r="W44" s="753"/>
      <c r="X44" s="753"/>
      <c r="Y44" s="753"/>
      <c r="Z44" s="753"/>
      <c r="AA44" s="753"/>
      <c r="AB44" s="753"/>
      <c r="AC44" s="753"/>
      <c r="AD44" s="753"/>
      <c r="AE44" s="753"/>
      <c r="AF44" s="753"/>
      <c r="AG44" s="753"/>
      <c r="AH44" s="753"/>
    </row>
    <row r="45" spans="3:34">
      <c r="C45" s="542"/>
      <c r="D45" s="542"/>
      <c r="E45" s="542"/>
      <c r="F45" s="542"/>
      <c r="G45" s="542"/>
      <c r="H45" s="145">
        <v>32.6</v>
      </c>
      <c r="I45" s="540" t="str">
        <f t="shared" si="15"/>
        <v>II юн</v>
      </c>
      <c r="J45" s="540" t="str">
        <f t="shared" si="16"/>
        <v>II юн</v>
      </c>
      <c r="K45" s="859"/>
      <c r="L45" s="532">
        <f t="shared" si="19"/>
        <v>32.4</v>
      </c>
      <c r="M45" s="540" t="str">
        <f t="shared" si="17"/>
        <v>II юн</v>
      </c>
      <c r="N45" s="540" t="str">
        <f t="shared" si="18"/>
        <v>II юн</v>
      </c>
      <c r="O45" s="540"/>
      <c r="P45" s="753"/>
      <c r="Q45" s="753"/>
      <c r="R45" s="753"/>
      <c r="S45" s="753"/>
      <c r="T45" s="753"/>
      <c r="U45" s="753"/>
      <c r="V45" s="753"/>
      <c r="W45" s="753"/>
      <c r="X45" s="753"/>
      <c r="Y45" s="753"/>
      <c r="Z45" s="753"/>
      <c r="AA45" s="753"/>
      <c r="AB45" s="753"/>
      <c r="AC45" s="753"/>
      <c r="AD45" s="753"/>
      <c r="AE45" s="753"/>
      <c r="AF45" s="753"/>
      <c r="AG45" s="753"/>
      <c r="AH45" s="753"/>
    </row>
    <row r="46" spans="3:34">
      <c r="C46" s="542"/>
      <c r="D46" s="542"/>
      <c r="E46" s="542"/>
      <c r="F46" s="542"/>
      <c r="G46" s="542"/>
      <c r="H46" s="145">
        <v>35.700000000000003</v>
      </c>
      <c r="I46" s="540" t="str">
        <f>IF(ISBLANK(H46)," ",IF(ISTEXT(H46)," ",IF(H46&lt;=19.4,"МСМК",IF(H46&lt;=20.5,"МС",IF(H46&lt;=21.5,"КМС",IF(H46&lt;=23.2,"I",IF(H46&lt;=25,"II",IF(H46&lt;=26.7,"III",IF(H46&lt;=30,"I юн",IF(H46&lt;=32.6,"II юн",IF(H46&lt;=35.7,"III юн","б/р")))))))))))</f>
        <v>III юн</v>
      </c>
      <c r="J46" s="540" t="str">
        <f>IF(ISBLANK(H46)," ",IF(ISTEXT(H46)," ",IF(H46&lt;=19.4,"МСМК",IF(H46&lt;=20.5,"МС",IF(H46&lt;=21.5,"КМС",IF(H46&lt;=23.2,"I",IF(H46&lt;=25,"II",IF(H46&lt;=26.7,"III",IF(H46&lt;=30,"I юн",IF(H46&lt;=32.6,"II юн",IF(H46&lt;=35.7,"III юн","б/р")))))))))))</f>
        <v>III юн</v>
      </c>
      <c r="K46" s="859"/>
      <c r="L46" s="532">
        <f t="shared" si="19"/>
        <v>35.5</v>
      </c>
      <c r="M46" s="540" t="str">
        <f>IF(ISBLANK(L46)," ",IF(ISTEXT(L46)," ",IF(L46&lt;=19.4,"МСМК",IF(L46&lt;=20.5,"МС",IF(L46&lt;=21.3,"КМС",IF(L46&lt;=23,"I",IF(L46&lt;=24.8,"II",IF(L46&lt;=26.5,"III",IF(L46&lt;=29.8,"I юн",IF(L46&lt;=32.4,"II юн",IF(L46&lt;=35.5,"III юн","б/р")))))))))))</f>
        <v>III юн</v>
      </c>
      <c r="N46" s="540" t="str">
        <f>IF(ISBLANK(L46)," ",IF(ISTEXT(L46)," ",IF(L46&lt;=19.4,"МСМК",IF(L46&lt;=20.5,"МС",IF(L46&lt;=21.3,"КМС",IF(L46&lt;=23,"I",IF(L46&lt;=24.8,"II",IF(L46&lt;=26.5,"III",IF(L46&lt;=29.8,"I юн",IF(L46&lt;=32.4,"II юн",IF(L46&lt;=35.5,"III юн","б/р")))))))))))</f>
        <v>III юн</v>
      </c>
      <c r="O46" s="540"/>
      <c r="P46" s="753"/>
      <c r="Q46" s="753"/>
      <c r="R46" s="753"/>
      <c r="S46" s="753"/>
      <c r="T46" s="753"/>
      <c r="U46" s="753"/>
      <c r="V46" s="753"/>
      <c r="W46" s="753"/>
      <c r="X46" s="753"/>
      <c r="Y46" s="753"/>
      <c r="Z46" s="753"/>
      <c r="AA46" s="753"/>
      <c r="AB46" s="753"/>
      <c r="AC46" s="753"/>
      <c r="AD46" s="753"/>
      <c r="AE46" s="753"/>
      <c r="AF46" s="753"/>
      <c r="AG46" s="753"/>
      <c r="AH46" s="753"/>
    </row>
    <row r="47" spans="3:34">
      <c r="C47" s="542"/>
      <c r="D47" s="542"/>
      <c r="E47" s="542"/>
      <c r="F47" s="542"/>
      <c r="G47" s="542"/>
      <c r="H47" s="145"/>
      <c r="I47" s="540" t="str">
        <f>IF(ISBLANK(H47)," ",IF(ISTEXT(H47)," ",IF(H47&lt;=19.7,"МСМК",IF(H47&lt;=20.9,"МС",IF(H47&lt;=21.9,"КМС",IF(H47&lt;=23.3,"I",IF(H47&lt;=25.2,"II",IF(H47&lt;=27,"III","б/р"))))))))</f>
        <v xml:space="preserve"> </v>
      </c>
      <c r="J47" s="540" t="str">
        <f>IF(ISBLANK(H47)," ",IF(ISTEXT(H47)," ",IF(H47&lt;=19.7,"МСМК",IF(H47&lt;=20.9,"МС",IF(H47&lt;=21.9,"КМС",IF(H47&lt;=23.3,"I",IF(H47&lt;=25.2,"II",IF(H47&lt;=27,"III","б/р"))))))))</f>
        <v xml:space="preserve"> </v>
      </c>
      <c r="K47" s="859"/>
      <c r="P47" s="753"/>
      <c r="Q47" s="753"/>
      <c r="R47" s="753"/>
      <c r="S47" s="753"/>
      <c r="T47" s="753"/>
      <c r="U47" s="753"/>
      <c r="V47" s="753"/>
      <c r="W47" s="753"/>
      <c r="X47" s="753"/>
      <c r="Y47" s="753"/>
      <c r="Z47" s="753"/>
      <c r="AA47" s="753"/>
      <c r="AB47" s="753"/>
      <c r="AC47" s="753"/>
      <c r="AD47" s="753"/>
      <c r="AE47" s="753"/>
      <c r="AF47" s="753"/>
      <c r="AG47" s="753"/>
      <c r="AH47" s="753"/>
    </row>
    <row r="48" spans="3:34">
      <c r="C48" s="524" t="s">
        <v>126</v>
      </c>
      <c r="D48" s="525"/>
      <c r="E48" s="526"/>
      <c r="F48" s="524"/>
      <c r="G48" s="524"/>
      <c r="H48" s="527"/>
      <c r="I48" s="532"/>
      <c r="J48" s="524"/>
      <c r="K48" s="861"/>
      <c r="P48" s="753"/>
      <c r="Q48" s="753"/>
      <c r="R48" s="753"/>
      <c r="S48" s="753"/>
      <c r="T48" s="753"/>
      <c r="U48" s="753"/>
      <c r="V48" s="753"/>
      <c r="W48" s="753"/>
      <c r="X48" s="753"/>
      <c r="Y48" s="753"/>
      <c r="Z48" s="753"/>
      <c r="AA48" s="753"/>
      <c r="AB48" s="753"/>
      <c r="AC48" s="753"/>
      <c r="AD48" s="753"/>
      <c r="AE48" s="753"/>
      <c r="AF48" s="753"/>
      <c r="AG48" s="753"/>
      <c r="AH48" s="753"/>
    </row>
    <row r="49" spans="3:34">
      <c r="C49" s="762"/>
      <c r="D49" s="762"/>
      <c r="E49" s="762"/>
      <c r="F49" s="762"/>
      <c r="G49" s="762"/>
      <c r="H49" s="146">
        <v>40</v>
      </c>
      <c r="I49" s="540" t="str">
        <f t="shared" ref="I49:I54" si="20">IF(ISBLANK(H49)," ",IF(ISTEXT(H49)," ",IF(H49&lt;=40,"МСМК",IF(H49&lt;=42,"МС",IF(H49&lt;=44,"КМС",IF(H49&lt;=47.2,"I",IF(H49&lt;=51.2,"II",IF(H49&lt;=55.4,"III",IF(H49&lt;=100,"I юн",IF(H49&lt;=105.6,"II юн",IF(H49&lt;=110.6,"III юн","б/р")))))))))))</f>
        <v>МСМК</v>
      </c>
      <c r="J49" s="540" t="str">
        <f t="shared" ref="J49:J56" si="21">IF(ISBLANK(H49)," ",IF(ISTEXT(H49)," ",IF(H49&lt;=40,"МСМК",IF(H49&lt;=42,"МС",IF(H49&lt;=44,"КМС",IF(H49&lt;=47.2,"I",IF(H49&lt;=51.2,"II",IF(H49&lt;=55.4,"III",IF(H49&lt;=100,"I юн",IF(H49&lt;=105.4,"II юн",IF(H49&lt;=110.6,"III юн","б/р")))))))))))</f>
        <v>МСМК</v>
      </c>
      <c r="K49" s="859"/>
      <c r="L49" s="748">
        <f>H49</f>
        <v>40</v>
      </c>
      <c r="M49" s="747" t="str">
        <f>IF(ISBLANK(L49)," ",IF(ISTEXT(L49)," ",IF(L49&lt;=40,"МСМК",IF(L49&lt;=42,"МС",IF(L49&lt;=43.8,"КМС",IF(L49&lt;=47,"I",IF(L49&lt;=51,"II",IF(L49&lt;=55.2,"III",IF(L49&lt;=59.8,"I юн",IF(L49&lt;=105.4,"II юн",IF(L49&lt;=110.4,"III юн","б/р")))))))))))</f>
        <v>МСМК</v>
      </c>
      <c r="N49" s="747" t="str">
        <f>IF(ISBLANK(L49)," ",IF(ISTEXT(L49)," ",IF(L49&lt;=40,"МСМК",IF(L49&lt;=42,"МС",IF(L49&lt;=43.8,"КМС",IF(L49&lt;=47,"I",IF(L49&lt;=51,"II",IF(L49&lt;=55.2,"III",IF(L49&lt;=59.8,"I юн",IF(L49&lt;=105.4,"II юн",IF(L49&lt;=110.4,"III юн","б/р")))))))))))</f>
        <v>МСМК</v>
      </c>
      <c r="O49" s="747"/>
      <c r="P49" s="753"/>
      <c r="Q49" s="753"/>
      <c r="R49" s="753"/>
      <c r="S49" s="753"/>
      <c r="T49" s="753"/>
      <c r="U49" s="753"/>
      <c r="V49" s="753"/>
      <c r="W49" s="753"/>
      <c r="X49" s="753"/>
      <c r="Y49" s="753"/>
      <c r="Z49" s="753"/>
      <c r="AA49" s="753"/>
      <c r="AB49" s="753"/>
      <c r="AC49" s="753"/>
      <c r="AD49" s="753"/>
      <c r="AE49" s="753"/>
      <c r="AF49" s="753"/>
      <c r="AG49" s="753"/>
      <c r="AH49" s="753"/>
    </row>
    <row r="50" spans="3:34">
      <c r="C50" s="762"/>
      <c r="D50" s="531"/>
      <c r="E50" s="586"/>
      <c r="F50" s="762"/>
      <c r="G50" s="762"/>
      <c r="H50" s="146">
        <v>42</v>
      </c>
      <c r="I50" s="540" t="str">
        <f t="shared" si="20"/>
        <v>МС</v>
      </c>
      <c r="J50" s="540" t="str">
        <f t="shared" si="21"/>
        <v>МС</v>
      </c>
      <c r="K50" s="859"/>
      <c r="L50" s="748">
        <f>H50</f>
        <v>42</v>
      </c>
      <c r="M50" s="747" t="str">
        <f t="shared" ref="M50:M56" si="22">IF(ISBLANK(L50)," ",IF(ISTEXT(L50)," ",IF(L50&lt;=40,"МСМК",IF(L50&lt;=42,"МС",IF(L50&lt;=43.8,"КМС",IF(L50&lt;=47,"I",IF(L50&lt;=51,"II",IF(L50&lt;=55.2,"III",IF(L50&lt;=59.8,"I юн",IF(L50&lt;=105.4,"II юн",IF(L50&lt;=110.4,"III юн","б/р")))))))))))</f>
        <v>МС</v>
      </c>
      <c r="N50" s="747" t="str">
        <f t="shared" ref="N50:N57" si="23">IF(ISBLANK(L50)," ",IF(ISTEXT(L50)," ",IF(L50&lt;=40,"МСМК",IF(L50&lt;=42,"МС",IF(L50&lt;=43.8,"КМС",IF(L50&lt;=47,"I",IF(L50&lt;=51,"II",IF(L50&lt;=55.2,"III",IF(L50&lt;=59.8,"I юн",IF(L50&lt;=105.4,"II юн",IF(L50&lt;=110.4,"III юн","б/р")))))))))))</f>
        <v>МС</v>
      </c>
      <c r="O50" s="747"/>
      <c r="P50" s="753"/>
      <c r="Q50" s="753"/>
      <c r="R50" s="753"/>
      <c r="S50" s="753"/>
      <c r="T50" s="753"/>
      <c r="U50" s="753"/>
      <c r="V50" s="753"/>
      <c r="W50" s="753"/>
      <c r="X50" s="753"/>
      <c r="Y50" s="753"/>
      <c r="Z50" s="753"/>
      <c r="AA50" s="753"/>
      <c r="AB50" s="753"/>
      <c r="AC50" s="753"/>
      <c r="AD50" s="753"/>
      <c r="AE50" s="753"/>
      <c r="AF50" s="753"/>
      <c r="AG50" s="753"/>
      <c r="AH50" s="753"/>
    </row>
    <row r="51" spans="3:34">
      <c r="C51" s="762"/>
      <c r="D51" s="531"/>
      <c r="E51" s="586"/>
      <c r="F51" s="762"/>
      <c r="G51" s="762"/>
      <c r="H51" s="146">
        <v>44</v>
      </c>
      <c r="I51" s="540" t="str">
        <f t="shared" si="20"/>
        <v>КМС</v>
      </c>
      <c r="J51" s="540" t="str">
        <f t="shared" si="21"/>
        <v>КМС</v>
      </c>
      <c r="K51" s="859"/>
      <c r="L51" s="146">
        <f>H51-0.2</f>
        <v>43.8</v>
      </c>
      <c r="M51" s="540" t="str">
        <f t="shared" si="22"/>
        <v>КМС</v>
      </c>
      <c r="N51" s="540" t="str">
        <f t="shared" si="23"/>
        <v>КМС</v>
      </c>
      <c r="O51" s="540"/>
      <c r="P51" s="753"/>
      <c r="Q51" s="753"/>
      <c r="R51" s="753"/>
      <c r="S51" s="753"/>
      <c r="T51" s="753"/>
      <c r="U51" s="753"/>
      <c r="V51" s="753"/>
      <c r="W51" s="753"/>
      <c r="X51" s="753"/>
      <c r="Y51" s="753"/>
      <c r="Z51" s="753"/>
      <c r="AA51" s="753"/>
      <c r="AB51" s="753"/>
      <c r="AC51" s="753"/>
      <c r="AD51" s="753"/>
      <c r="AE51" s="753"/>
      <c r="AF51" s="753"/>
      <c r="AG51" s="753"/>
      <c r="AH51" s="753"/>
    </row>
    <row r="52" spans="3:34">
      <c r="C52" s="762"/>
      <c r="D52" s="531"/>
      <c r="E52" s="586"/>
      <c r="F52" s="762"/>
      <c r="G52" s="762"/>
      <c r="H52" s="146">
        <v>47.2</v>
      </c>
      <c r="I52" s="540" t="str">
        <f t="shared" si="20"/>
        <v>I</v>
      </c>
      <c r="J52" s="540" t="str">
        <f t="shared" si="21"/>
        <v>I</v>
      </c>
      <c r="K52" s="859"/>
      <c r="L52" s="146">
        <f t="shared" ref="L52:L57" si="24">H52-0.2</f>
        <v>47</v>
      </c>
      <c r="M52" s="540" t="str">
        <f t="shared" si="22"/>
        <v>I</v>
      </c>
      <c r="N52" s="540" t="str">
        <f t="shared" si="23"/>
        <v>I</v>
      </c>
      <c r="O52" s="540"/>
      <c r="P52" s="753"/>
      <c r="Q52" s="753"/>
      <c r="R52" s="753"/>
      <c r="S52" s="753"/>
      <c r="T52" s="753"/>
      <c r="U52" s="753"/>
      <c r="V52" s="753"/>
      <c r="W52" s="753"/>
      <c r="X52" s="753"/>
      <c r="Y52" s="753"/>
      <c r="Z52" s="753"/>
      <c r="AA52" s="753"/>
      <c r="AB52" s="753"/>
      <c r="AC52" s="753"/>
      <c r="AD52" s="753"/>
      <c r="AE52" s="753"/>
      <c r="AF52" s="753"/>
      <c r="AG52" s="753"/>
      <c r="AH52" s="753"/>
    </row>
    <row r="53" spans="3:34">
      <c r="C53" s="762"/>
      <c r="D53" s="531"/>
      <c r="E53" s="586"/>
      <c r="F53" s="762"/>
      <c r="G53" s="762"/>
      <c r="H53" s="146">
        <v>51.2</v>
      </c>
      <c r="I53" s="540" t="str">
        <f t="shared" si="20"/>
        <v>II</v>
      </c>
      <c r="J53" s="540" t="str">
        <f t="shared" si="21"/>
        <v>II</v>
      </c>
      <c r="K53" s="859"/>
      <c r="L53" s="146">
        <f t="shared" si="24"/>
        <v>51</v>
      </c>
      <c r="M53" s="540" t="str">
        <f t="shared" si="22"/>
        <v>II</v>
      </c>
      <c r="N53" s="540" t="str">
        <f t="shared" si="23"/>
        <v>II</v>
      </c>
      <c r="O53" s="540"/>
      <c r="P53" s="753"/>
      <c r="Q53" s="753"/>
      <c r="R53" s="753"/>
      <c r="S53" s="753"/>
      <c r="T53" s="753"/>
      <c r="U53" s="753"/>
      <c r="V53" s="753"/>
      <c r="W53" s="753"/>
      <c r="X53" s="753"/>
      <c r="Y53" s="753"/>
      <c r="Z53" s="753"/>
      <c r="AA53" s="753"/>
      <c r="AB53" s="753"/>
      <c r="AC53" s="753"/>
      <c r="AD53" s="753"/>
      <c r="AE53" s="753"/>
      <c r="AF53" s="753"/>
      <c r="AG53" s="753"/>
      <c r="AH53" s="753"/>
    </row>
    <row r="54" spans="3:34">
      <c r="C54" s="762"/>
      <c r="D54" s="531"/>
      <c r="E54" s="762"/>
      <c r="F54" s="762"/>
      <c r="G54" s="762"/>
      <c r="H54" s="146">
        <v>55.4</v>
      </c>
      <c r="I54" s="540" t="str">
        <f t="shared" si="20"/>
        <v>III</v>
      </c>
      <c r="J54" s="540" t="str">
        <f t="shared" si="21"/>
        <v>III</v>
      </c>
      <c r="K54" s="859"/>
      <c r="L54" s="146">
        <f t="shared" si="24"/>
        <v>55.199999999999996</v>
      </c>
      <c r="M54" s="540" t="str">
        <f t="shared" si="22"/>
        <v>III</v>
      </c>
      <c r="N54" s="540" t="str">
        <f t="shared" si="23"/>
        <v>III</v>
      </c>
      <c r="O54" s="540"/>
      <c r="P54" s="753"/>
      <c r="Q54" s="753"/>
      <c r="R54" s="753"/>
      <c r="S54" s="753"/>
      <c r="T54" s="753"/>
      <c r="U54" s="753"/>
      <c r="V54" s="753"/>
      <c r="W54" s="753"/>
      <c r="X54" s="753"/>
      <c r="Y54" s="753"/>
      <c r="Z54" s="753"/>
      <c r="AA54" s="753"/>
      <c r="AB54" s="753"/>
      <c r="AC54" s="753"/>
      <c r="AD54" s="753"/>
      <c r="AE54" s="753"/>
      <c r="AF54" s="753"/>
      <c r="AG54" s="753"/>
      <c r="AH54" s="753"/>
    </row>
    <row r="55" spans="3:34">
      <c r="C55" s="762"/>
      <c r="D55" s="531"/>
      <c r="E55" s="762"/>
      <c r="F55" s="762"/>
      <c r="G55" s="762"/>
      <c r="H55" s="145">
        <v>100</v>
      </c>
      <c r="I55" s="540" t="str">
        <f>IF(ISBLANK(H55)," ",IF(ISTEXT(H55)," ",IF(H55&lt;=40,"МСМК",IF(H55&lt;=42,"МС",IF(H55&lt;=44,"КМС",IF(H55&lt;=47.2,"I",IF(H55&lt;=51.2,"II",IF(H55&lt;=55.4,"III",IF(H55&lt;=100,"I юн",IF(H55&lt;=105.6,"II юн",IF(H55&lt;=110.6,"III юн","б/р")))))))))))</f>
        <v>I юн</v>
      </c>
      <c r="J55" s="540" t="str">
        <f t="shared" si="21"/>
        <v>I юн</v>
      </c>
      <c r="K55" s="859"/>
      <c r="L55" s="146">
        <v>59.8</v>
      </c>
      <c r="M55" s="540" t="str">
        <f t="shared" si="22"/>
        <v>I юн</v>
      </c>
      <c r="N55" s="540" t="str">
        <f t="shared" si="23"/>
        <v>I юн</v>
      </c>
      <c r="O55" s="540"/>
      <c r="P55" s="753"/>
      <c r="Q55" s="753"/>
      <c r="R55" s="753"/>
      <c r="S55" s="753"/>
      <c r="T55" s="753"/>
      <c r="U55" s="753"/>
      <c r="V55" s="753"/>
      <c r="W55" s="753"/>
      <c r="X55" s="753"/>
      <c r="Y55" s="753"/>
      <c r="Z55" s="753"/>
      <c r="AA55" s="753"/>
      <c r="AB55" s="753"/>
      <c r="AC55" s="753"/>
      <c r="AD55" s="753"/>
      <c r="AE55" s="753"/>
      <c r="AF55" s="753"/>
      <c r="AG55" s="753"/>
      <c r="AH55" s="753"/>
    </row>
    <row r="56" spans="3:34">
      <c r="C56" s="762"/>
      <c r="D56" s="531"/>
      <c r="E56" s="762"/>
      <c r="F56" s="762"/>
      <c r="G56" s="762"/>
      <c r="H56" s="145">
        <v>105.6</v>
      </c>
      <c r="I56" s="540" t="str">
        <f t="shared" ref="I56:I57" si="25">IF(ISBLANK(H56)," ",IF(ISTEXT(H56)," ",IF(H56&lt;=40,"МСМК",IF(H56&lt;=42,"МС",IF(H56&lt;=44,"КМС",IF(H56&lt;=47.2,"I",IF(H56&lt;=51.2,"II",IF(H56&lt;=55.4,"III",IF(H56&lt;=100,"I юн",IF(H56&lt;=105.6,"II юн",IF(H56&lt;=110.6,"III юн","б/р")))))))))))</f>
        <v>II юн</v>
      </c>
      <c r="J56" s="540" t="str">
        <f t="shared" si="21"/>
        <v>III юн</v>
      </c>
      <c r="K56" s="859"/>
      <c r="L56" s="146">
        <f t="shared" si="24"/>
        <v>105.39999999999999</v>
      </c>
      <c r="M56" s="540" t="str">
        <f t="shared" si="22"/>
        <v>II юн</v>
      </c>
      <c r="N56" s="540" t="str">
        <f t="shared" si="23"/>
        <v>II юн</v>
      </c>
      <c r="O56" s="540"/>
      <c r="P56" s="753"/>
      <c r="Q56" s="753"/>
      <c r="R56" s="753"/>
      <c r="S56" s="753"/>
      <c r="T56" s="753"/>
      <c r="U56" s="753"/>
      <c r="V56" s="753"/>
      <c r="W56" s="753"/>
      <c r="X56" s="753"/>
      <c r="Y56" s="753"/>
      <c r="Z56" s="753"/>
      <c r="AA56" s="753"/>
      <c r="AB56" s="753"/>
      <c r="AC56" s="753"/>
      <c r="AD56" s="753"/>
      <c r="AE56" s="753"/>
      <c r="AF56" s="753"/>
      <c r="AG56" s="753"/>
      <c r="AH56" s="753"/>
    </row>
    <row r="57" spans="3:34">
      <c r="C57" s="762"/>
      <c r="D57" s="531"/>
      <c r="E57" s="586"/>
      <c r="F57" s="762"/>
      <c r="G57" s="762"/>
      <c r="H57" s="145">
        <v>110.6</v>
      </c>
      <c r="I57" s="540" t="str">
        <f t="shared" si="25"/>
        <v>III юн</v>
      </c>
      <c r="J57" s="540" t="str">
        <f>IF(ISBLANK(H57)," ",IF(ISTEXT(H57)," ",IF(H57&lt;=40,"МСМК",IF(H57&lt;=42,"МС",IF(H57&lt;=44,"КМС",IF(H57&lt;=47.2,"I",IF(H57&lt;=51.2,"II",IF(H57&lt;=55.4,"III",IF(H57&lt;=100,"I юн",IF(H57&lt;=105.4,"II юн",IF(H57&lt;=110.6,"III юн","б/р")))))))))))</f>
        <v>III юн</v>
      </c>
      <c r="K57" s="859"/>
      <c r="L57" s="146">
        <f t="shared" si="24"/>
        <v>110.39999999999999</v>
      </c>
      <c r="M57" s="540" t="str">
        <f>IF(ISBLANK(L57)," ",IF(ISTEXT(L57)," ",IF(L57&lt;=40,"МСМК",IF(L57&lt;=42,"МС",IF(L57&lt;=43.8,"КМС",IF(L57&lt;=47,"I",IF(L57&lt;=51,"II",IF(L57&lt;=55.2,"III",IF(L57&lt;=59.8,"I юн",IF(L57&lt;=105.4,"II юн",IF(L57&lt;=110.4,"III юн","б/р")))))))))))</f>
        <v>III юн</v>
      </c>
      <c r="N57" s="540" t="str">
        <f t="shared" si="23"/>
        <v>III юн</v>
      </c>
      <c r="O57" s="540"/>
      <c r="P57" s="753"/>
      <c r="Q57" s="753"/>
      <c r="R57" s="753"/>
      <c r="S57" s="753"/>
      <c r="T57" s="753"/>
      <c r="U57" s="753"/>
      <c r="V57" s="753"/>
      <c r="W57" s="753"/>
      <c r="X57" s="753"/>
      <c r="Y57" s="753"/>
      <c r="Z57" s="753"/>
      <c r="AA57" s="753"/>
      <c r="AB57" s="753"/>
      <c r="AC57" s="753"/>
      <c r="AD57" s="753"/>
      <c r="AE57" s="753"/>
      <c r="AF57" s="753"/>
      <c r="AG57" s="753"/>
      <c r="AH57" s="753"/>
    </row>
    <row r="58" spans="3:34">
      <c r="C58" s="762"/>
      <c r="D58" s="531"/>
      <c r="E58" s="586"/>
      <c r="F58" s="762"/>
      <c r="G58" s="762"/>
      <c r="H58" s="145"/>
      <c r="I58" s="540"/>
      <c r="J58" s="540"/>
      <c r="K58" s="859"/>
      <c r="P58" s="743"/>
      <c r="Q58" s="743"/>
      <c r="R58" s="743"/>
      <c r="S58" s="743"/>
      <c r="T58" s="743"/>
      <c r="U58" s="743"/>
      <c r="V58" s="743"/>
      <c r="W58" s="743"/>
      <c r="X58" s="743"/>
      <c r="Y58" s="743"/>
      <c r="Z58" s="743"/>
      <c r="AA58" s="743"/>
      <c r="AB58" s="742"/>
      <c r="AC58" s="742"/>
      <c r="AD58" s="742"/>
      <c r="AE58" s="742"/>
      <c r="AF58" s="742"/>
      <c r="AG58" s="743"/>
      <c r="AH58" s="753"/>
    </row>
    <row r="59" spans="3:34">
      <c r="C59" s="524" t="s">
        <v>127</v>
      </c>
      <c r="D59" s="525"/>
      <c r="E59" s="526"/>
      <c r="F59" s="524"/>
      <c r="G59" s="524"/>
      <c r="H59" s="527"/>
      <c r="I59" s="532"/>
      <c r="J59" s="542"/>
      <c r="K59" s="860"/>
      <c r="P59" s="742"/>
      <c r="Q59" s="742"/>
      <c r="R59" s="742"/>
      <c r="S59" s="742"/>
      <c r="T59" s="742"/>
      <c r="U59" s="742"/>
      <c r="V59" s="742"/>
      <c r="W59" s="742"/>
      <c r="X59" s="742"/>
      <c r="Y59" s="742"/>
      <c r="Z59" s="742"/>
      <c r="AA59" s="742"/>
      <c r="AB59" s="742"/>
      <c r="AC59" s="742"/>
      <c r="AD59" s="742"/>
      <c r="AE59" s="742"/>
      <c r="AF59" s="742"/>
      <c r="AG59" s="742"/>
      <c r="AH59" s="753"/>
    </row>
    <row r="60" spans="3:34">
      <c r="C60" s="542"/>
      <c r="D60" s="542"/>
      <c r="E60" s="542"/>
      <c r="F60" s="542"/>
      <c r="G60" s="542"/>
      <c r="H60" s="147">
        <v>36</v>
      </c>
      <c r="I60" s="540" t="str">
        <f t="shared" ref="I60:I67" si="26">IF(ISBLANK(H60)," ",IF(ISTEXT(H60)," ",IF(H60&lt;=36,"МСМК",IF(H60&lt;=37.8,"МС",IF(H60&lt;=39.6,"КМС",IF(H60&lt;=42.5,"I",IF(H60&lt;=46.1,"II",IF(H60&lt;=50,"III",IF(H60&lt;=54.8,"I юн",IF(H60&lt;=59.8,"II юн",IF(H60&lt;=104.8,"III юн","б/р")))))))))))</f>
        <v>МСМК</v>
      </c>
      <c r="J60" s="540" t="str">
        <f t="shared" ref="J60:J67" si="27">IF(ISBLANK(H60)," ",IF(ISTEXT(H60)," ",IF(H60&lt;=36,"МСМК",IF(H60&lt;=37.8,"МС",IF(H60&lt;=39.6,"КМС",IF(H60&lt;=42.5,"I",IF(H60&lt;=46.1,"II",IF(H60&lt;=50,"III",IF(H60&lt;=54.8,"I юн",IF(H60&lt;=59.8,"II юн",IF(H60&lt;=104.8,"III юн","б/р")))))))))))</f>
        <v>МСМК</v>
      </c>
      <c r="K60" s="859"/>
      <c r="L60" s="864">
        <f>H60</f>
        <v>36</v>
      </c>
      <c r="M60" s="747" t="str">
        <f>IF(ISBLANK(L60)," ",IF(ISTEXT(L60)," ",IF(L60&lt;=36,"МСМК",IF(L60&lt;=37.8,"МС",IF(L60&lt;=39.4,"КМС",IF(L60&lt;=42.3,"I",IF(L60&lt;=45.9,"II",IF(L60&lt;=49.8,"III",IF(L60&lt;=54.6,"I юн",IF(L60&lt;=59.6,"II юн",IF(L60&lt;=104.6,"III юн","б/р")))))))))))</f>
        <v>МСМК</v>
      </c>
      <c r="N60" s="747" t="str">
        <f>IF(ISBLANK(L60)," ",IF(ISTEXT(L60)," ",IF(L60&lt;=36,"МСМК",IF(L60&lt;=37.8,"МС",IF(L60&lt;=39.4,"КМС",IF(L60&lt;=42.3,"I",IF(L60&lt;=45.9,"II",IF(L60&lt;=49.8,"III",IF(L60&lt;=54.6,"I юн",IF(L60&lt;=59.6,"II юн",IF(L60&lt;=104.6,"III юн","б/р")))))))))))</f>
        <v>МСМК</v>
      </c>
      <c r="O60" s="747"/>
      <c r="P60" s="753"/>
      <c r="Q60" s="753"/>
      <c r="R60" s="753"/>
      <c r="S60" s="753"/>
      <c r="T60" s="753"/>
      <c r="U60" s="753"/>
      <c r="V60" s="753"/>
      <c r="W60" s="753"/>
      <c r="X60" s="753"/>
      <c r="Y60" s="753"/>
      <c r="Z60" s="753"/>
      <c r="AA60" s="753"/>
      <c r="AB60" s="753"/>
      <c r="AC60" s="753"/>
      <c r="AD60" s="753"/>
      <c r="AE60" s="753"/>
      <c r="AF60" s="753"/>
      <c r="AG60" s="753"/>
      <c r="AH60" s="753"/>
    </row>
    <row r="61" spans="3:34">
      <c r="C61" s="762"/>
      <c r="D61" s="531"/>
      <c r="E61" s="586"/>
      <c r="F61" s="762"/>
      <c r="G61" s="762"/>
      <c r="H61" s="146">
        <v>37.799999999999997</v>
      </c>
      <c r="I61" s="540" t="str">
        <f t="shared" si="26"/>
        <v>МС</v>
      </c>
      <c r="J61" s="540" t="str">
        <f t="shared" si="27"/>
        <v>МС</v>
      </c>
      <c r="K61" s="859"/>
      <c r="L61" s="748">
        <f>H61</f>
        <v>37.799999999999997</v>
      </c>
      <c r="M61" s="747" t="str">
        <f t="shared" ref="M61:M68" si="28">IF(ISBLANK(L61)," ",IF(ISTEXT(L61)," ",IF(L61&lt;=36,"МСМК",IF(L61&lt;=37.8,"МС",IF(L61&lt;=39.4,"КМС",IF(L61&lt;=42.3,"I",IF(L61&lt;=45.9,"II",IF(L61&lt;=49.8,"III",IF(L61&lt;=54.6,"I юн",IF(L61&lt;=59.6,"II юн",IF(L61&lt;=104.6,"III юн","б/р")))))))))))</f>
        <v>МС</v>
      </c>
      <c r="N61" s="747" t="str">
        <f t="shared" ref="N61:N68" si="29">IF(ISBLANK(L61)," ",IF(ISTEXT(L61)," ",IF(L61&lt;=36,"МСМК",IF(L61&lt;=37.8,"МС",IF(L61&lt;=39.4,"КМС",IF(L61&lt;=42.3,"I",IF(L61&lt;=45.9,"II",IF(L61&lt;=49.8,"III",IF(L61&lt;=54.6,"I юн",IF(L61&lt;=59.6,"II юн",IF(L61&lt;=104.6,"III юн","б/р")))))))))))</f>
        <v>МС</v>
      </c>
      <c r="O61" s="747"/>
      <c r="P61" s="753"/>
      <c r="Q61" s="753"/>
      <c r="R61" s="753"/>
      <c r="S61" s="753"/>
      <c r="T61" s="753"/>
      <c r="U61" s="753"/>
      <c r="V61" s="753"/>
      <c r="W61" s="753"/>
      <c r="X61" s="753"/>
      <c r="Y61" s="753"/>
      <c r="Z61" s="753"/>
      <c r="AA61" s="753"/>
      <c r="AB61" s="753"/>
      <c r="AC61" s="753"/>
      <c r="AD61" s="753"/>
      <c r="AE61" s="753"/>
      <c r="AF61" s="753"/>
      <c r="AG61" s="753"/>
      <c r="AH61" s="753"/>
    </row>
    <row r="62" spans="3:34">
      <c r="C62" s="762"/>
      <c r="D62" s="531"/>
      <c r="E62" s="586"/>
      <c r="F62" s="762"/>
      <c r="G62" s="762"/>
      <c r="H62" s="146">
        <v>39.6</v>
      </c>
      <c r="I62" s="540" t="str">
        <f t="shared" si="26"/>
        <v>КМС</v>
      </c>
      <c r="J62" s="540" t="str">
        <f t="shared" si="27"/>
        <v>КМС</v>
      </c>
      <c r="K62" s="859"/>
      <c r="L62" s="146">
        <f>H62-0.2</f>
        <v>39.4</v>
      </c>
      <c r="M62" s="540" t="str">
        <f t="shared" si="28"/>
        <v>КМС</v>
      </c>
      <c r="N62" s="540" t="str">
        <f t="shared" si="29"/>
        <v>КМС</v>
      </c>
      <c r="O62" s="540"/>
      <c r="P62" s="753"/>
      <c r="Q62" s="753"/>
      <c r="R62" s="753"/>
      <c r="S62" s="753"/>
      <c r="T62" s="753"/>
      <c r="U62" s="753"/>
      <c r="V62" s="753"/>
      <c r="W62" s="753"/>
      <c r="X62" s="753"/>
      <c r="Y62" s="753"/>
      <c r="Z62" s="753"/>
      <c r="AA62" s="753"/>
      <c r="AB62" s="753"/>
      <c r="AC62" s="753"/>
      <c r="AD62" s="753"/>
      <c r="AE62" s="753"/>
      <c r="AF62" s="753"/>
      <c r="AG62" s="753"/>
      <c r="AH62" s="753"/>
    </row>
    <row r="63" spans="3:34">
      <c r="C63" s="762"/>
      <c r="D63" s="531"/>
      <c r="E63" s="586"/>
      <c r="F63" s="762"/>
      <c r="G63" s="762"/>
      <c r="H63" s="146">
        <v>42.5</v>
      </c>
      <c r="I63" s="540" t="str">
        <f t="shared" si="26"/>
        <v>I</v>
      </c>
      <c r="J63" s="540" t="str">
        <f t="shared" si="27"/>
        <v>I</v>
      </c>
      <c r="K63" s="859"/>
      <c r="L63" s="146">
        <f t="shared" ref="L63:L68" si="30">H63-0.2</f>
        <v>42.3</v>
      </c>
      <c r="M63" s="540" t="str">
        <f t="shared" si="28"/>
        <v>I</v>
      </c>
      <c r="N63" s="540" t="str">
        <f t="shared" si="29"/>
        <v>I</v>
      </c>
      <c r="O63" s="540"/>
      <c r="P63" s="753"/>
      <c r="Q63" s="753"/>
      <c r="R63" s="753"/>
      <c r="S63" s="753"/>
      <c r="T63" s="753"/>
      <c r="U63" s="753"/>
      <c r="V63" s="753"/>
      <c r="W63" s="753"/>
      <c r="X63" s="753"/>
      <c r="Y63" s="753"/>
      <c r="Z63" s="753"/>
      <c r="AA63" s="753"/>
      <c r="AB63" s="753"/>
      <c r="AC63" s="753"/>
      <c r="AD63" s="753"/>
      <c r="AE63" s="753"/>
      <c r="AF63" s="753"/>
      <c r="AG63" s="753"/>
      <c r="AH63" s="753"/>
    </row>
    <row r="64" spans="3:34">
      <c r="C64" s="762"/>
      <c r="D64" s="531"/>
      <c r="E64" s="586"/>
      <c r="F64" s="762"/>
      <c r="G64" s="762"/>
      <c r="H64" s="146">
        <v>46.1</v>
      </c>
      <c r="I64" s="540" t="str">
        <f t="shared" si="26"/>
        <v>II</v>
      </c>
      <c r="J64" s="540" t="str">
        <f t="shared" si="27"/>
        <v>II</v>
      </c>
      <c r="K64" s="859"/>
      <c r="L64" s="146">
        <f t="shared" si="30"/>
        <v>45.9</v>
      </c>
      <c r="M64" s="540" t="str">
        <f t="shared" si="28"/>
        <v>II</v>
      </c>
      <c r="N64" s="540" t="str">
        <f t="shared" si="29"/>
        <v>II</v>
      </c>
      <c r="O64" s="540"/>
      <c r="P64" s="753"/>
      <c r="Q64" s="753"/>
      <c r="R64" s="753"/>
      <c r="S64" s="753"/>
      <c r="T64" s="753"/>
      <c r="U64" s="753"/>
      <c r="V64" s="753"/>
      <c r="W64" s="753"/>
      <c r="X64" s="753"/>
      <c r="Y64" s="753"/>
      <c r="Z64" s="753"/>
      <c r="AA64" s="753"/>
      <c r="AB64" s="753"/>
      <c r="AC64" s="753"/>
      <c r="AD64" s="753"/>
      <c r="AE64" s="753"/>
      <c r="AF64" s="753"/>
      <c r="AG64" s="753"/>
      <c r="AH64" s="753"/>
    </row>
    <row r="65" spans="3:34">
      <c r="C65" s="762"/>
      <c r="D65" s="531"/>
      <c r="E65" s="586"/>
      <c r="F65" s="762"/>
      <c r="G65" s="762"/>
      <c r="H65" s="146">
        <v>50</v>
      </c>
      <c r="I65" s="540" t="str">
        <f t="shared" si="26"/>
        <v>III</v>
      </c>
      <c r="J65" s="540" t="str">
        <f t="shared" si="27"/>
        <v>III</v>
      </c>
      <c r="K65" s="859"/>
      <c r="L65" s="146">
        <f t="shared" si="30"/>
        <v>49.8</v>
      </c>
      <c r="M65" s="540" t="str">
        <f t="shared" si="28"/>
        <v>III</v>
      </c>
      <c r="N65" s="540" t="str">
        <f t="shared" si="29"/>
        <v>III</v>
      </c>
      <c r="O65" s="540"/>
      <c r="P65" s="753"/>
      <c r="Q65" s="753"/>
      <c r="R65" s="753"/>
      <c r="S65" s="753"/>
      <c r="T65" s="753"/>
      <c r="U65" s="753"/>
      <c r="V65" s="753"/>
      <c r="W65" s="753"/>
      <c r="X65" s="753"/>
      <c r="Y65" s="753"/>
      <c r="Z65" s="753"/>
      <c r="AA65" s="753"/>
      <c r="AB65" s="753"/>
      <c r="AC65" s="753"/>
      <c r="AD65" s="753"/>
      <c r="AE65" s="753"/>
      <c r="AF65" s="753"/>
      <c r="AG65" s="753"/>
      <c r="AH65" s="753"/>
    </row>
    <row r="66" spans="3:34">
      <c r="C66" s="762"/>
      <c r="D66" s="531"/>
      <c r="E66" s="586"/>
      <c r="F66" s="762"/>
      <c r="G66" s="762"/>
      <c r="H66" s="145">
        <v>54.8</v>
      </c>
      <c r="I66" s="540" t="str">
        <f t="shared" si="26"/>
        <v>I юн</v>
      </c>
      <c r="J66" s="540" t="str">
        <f t="shared" si="27"/>
        <v>I юн</v>
      </c>
      <c r="K66" s="859"/>
      <c r="L66" s="146">
        <f t="shared" si="30"/>
        <v>54.599999999999994</v>
      </c>
      <c r="M66" s="540" t="str">
        <f t="shared" si="28"/>
        <v>I юн</v>
      </c>
      <c r="N66" s="540" t="str">
        <f t="shared" si="29"/>
        <v>I юн</v>
      </c>
      <c r="O66" s="540"/>
      <c r="P66" s="753"/>
      <c r="Q66" s="753"/>
      <c r="R66" s="753"/>
      <c r="S66" s="753"/>
      <c r="T66" s="753"/>
      <c r="U66" s="753"/>
      <c r="V66" s="753"/>
      <c r="W66" s="753"/>
      <c r="X66" s="753"/>
      <c r="Y66" s="753"/>
      <c r="Z66" s="753"/>
      <c r="AA66" s="753"/>
      <c r="AB66" s="753"/>
      <c r="AC66" s="753"/>
      <c r="AD66" s="753"/>
      <c r="AE66" s="753"/>
      <c r="AF66" s="753"/>
      <c r="AG66" s="753"/>
      <c r="AH66" s="753"/>
    </row>
    <row r="67" spans="3:34">
      <c r="C67" s="762"/>
      <c r="D67" s="531"/>
      <c r="E67" s="586"/>
      <c r="F67" s="762"/>
      <c r="G67" s="762"/>
      <c r="H67" s="145">
        <v>59.8</v>
      </c>
      <c r="I67" s="540" t="str">
        <f t="shared" si="26"/>
        <v>II юн</v>
      </c>
      <c r="J67" s="540" t="str">
        <f t="shared" si="27"/>
        <v>II юн</v>
      </c>
      <c r="K67" s="859"/>
      <c r="L67" s="146">
        <f t="shared" si="30"/>
        <v>59.599999999999994</v>
      </c>
      <c r="M67" s="540" t="str">
        <f t="shared" si="28"/>
        <v>II юн</v>
      </c>
      <c r="N67" s="540" t="str">
        <f t="shared" si="29"/>
        <v>II юн</v>
      </c>
      <c r="O67" s="540"/>
      <c r="P67" s="753"/>
      <c r="Q67" s="753"/>
      <c r="R67" s="753"/>
      <c r="S67" s="753"/>
      <c r="T67" s="753"/>
      <c r="U67" s="753"/>
      <c r="V67" s="753"/>
      <c r="W67" s="753"/>
      <c r="X67" s="753"/>
      <c r="Y67" s="753"/>
      <c r="Z67" s="753"/>
      <c r="AA67" s="753"/>
      <c r="AB67" s="753"/>
      <c r="AC67" s="753"/>
      <c r="AD67" s="753"/>
      <c r="AE67" s="753"/>
      <c r="AF67" s="753"/>
      <c r="AG67" s="753"/>
      <c r="AH67" s="753"/>
    </row>
    <row r="68" spans="3:34">
      <c r="C68" s="762"/>
      <c r="D68" s="531"/>
      <c r="E68" s="586"/>
      <c r="F68" s="762"/>
      <c r="G68" s="762"/>
      <c r="H68" s="145">
        <v>104.8</v>
      </c>
      <c r="I68" s="540" t="str">
        <f>IF(ISBLANK(H68)," ",IF(ISTEXT(H68)," ",IF(H68&lt;=36,"МСМК",IF(H68&lt;=37.8,"МС",IF(H68&lt;=39.6,"КМС",IF(H68&lt;=42.5,"I",IF(H68&lt;=46.1,"II",IF(H68&lt;=50,"III",IF(H68&lt;=54.8,"I юн",IF(H68&lt;=59.8,"II юн",IF(H68&lt;=104.8,"III юн","б/р")))))))))))</f>
        <v>III юн</v>
      </c>
      <c r="J68" s="540" t="str">
        <f>IF(ISBLANK(H68)," ",IF(ISTEXT(H68)," ",IF(H68&lt;=36,"МСМК",IF(H68&lt;=37.8,"МС",IF(H68&lt;=39.6,"КМС",IF(H68&lt;=42.5,"I",IF(H68&lt;=46.1,"II",IF(H68&lt;=50,"III",IF(H68&lt;=54.8,"I юн",IF(H68&lt;=59.8,"II юн",IF(H68&lt;=104.8,"III юн","б/р")))))))))))</f>
        <v>III юн</v>
      </c>
      <c r="K68" s="859"/>
      <c r="L68" s="146">
        <f t="shared" si="30"/>
        <v>104.6</v>
      </c>
      <c r="M68" s="540" t="str">
        <f t="shared" si="28"/>
        <v>III юн</v>
      </c>
      <c r="N68" s="540" t="str">
        <f t="shared" si="29"/>
        <v>III юн</v>
      </c>
      <c r="O68" s="540"/>
      <c r="P68" s="753"/>
      <c r="Q68" s="753"/>
      <c r="R68" s="753"/>
      <c r="S68" s="753"/>
      <c r="T68" s="753"/>
      <c r="U68" s="753"/>
      <c r="V68" s="753"/>
      <c r="W68" s="753"/>
      <c r="X68" s="753"/>
      <c r="Y68" s="753"/>
      <c r="Z68" s="753"/>
      <c r="AA68" s="753"/>
      <c r="AB68" s="753"/>
      <c r="AC68" s="753"/>
      <c r="AD68" s="753"/>
      <c r="AE68" s="753"/>
      <c r="AF68" s="753"/>
      <c r="AG68" s="753"/>
      <c r="AH68" s="753"/>
    </row>
    <row r="69" spans="3:34">
      <c r="C69" s="542"/>
      <c r="D69" s="542"/>
      <c r="E69" s="542"/>
      <c r="F69" s="542"/>
      <c r="G69" s="542"/>
      <c r="H69" s="145"/>
      <c r="I69" s="540"/>
      <c r="J69" s="540"/>
      <c r="K69" s="859"/>
      <c r="N69" s="540"/>
      <c r="O69" s="540"/>
      <c r="P69" s="753"/>
      <c r="Q69" s="753"/>
      <c r="R69" s="753"/>
      <c r="S69" s="753"/>
      <c r="T69" s="753"/>
      <c r="U69" s="753"/>
      <c r="V69" s="753"/>
      <c r="W69" s="753"/>
      <c r="X69" s="753"/>
      <c r="Y69" s="753"/>
      <c r="Z69" s="753"/>
      <c r="AA69" s="753"/>
      <c r="AB69" s="753"/>
      <c r="AC69" s="753"/>
      <c r="AD69" s="753"/>
      <c r="AE69" s="753"/>
      <c r="AF69" s="753"/>
      <c r="AG69" s="753"/>
      <c r="AH69" s="753"/>
    </row>
    <row r="70" spans="3:34">
      <c r="C70" s="524" t="s">
        <v>147</v>
      </c>
      <c r="D70" s="542"/>
      <c r="E70" s="542"/>
      <c r="F70" s="542"/>
      <c r="G70" s="542"/>
      <c r="H70" s="541"/>
      <c r="I70" s="541"/>
      <c r="J70" s="542"/>
      <c r="K70" s="860"/>
      <c r="P70" s="753"/>
      <c r="Q70" s="753"/>
      <c r="R70" s="753"/>
      <c r="S70" s="753"/>
      <c r="T70" s="753"/>
      <c r="U70" s="753"/>
      <c r="V70" s="753"/>
      <c r="W70" s="753"/>
      <c r="X70" s="753"/>
      <c r="Y70" s="753"/>
      <c r="Z70" s="753"/>
      <c r="AA70" s="753"/>
      <c r="AB70" s="753"/>
      <c r="AC70" s="753"/>
      <c r="AD70" s="753"/>
      <c r="AE70" s="753"/>
      <c r="AF70" s="753"/>
      <c r="AG70" s="753"/>
      <c r="AH70" s="753"/>
    </row>
    <row r="71" spans="3:34">
      <c r="C71" s="542"/>
      <c r="D71" s="542"/>
      <c r="E71" s="542"/>
      <c r="F71" s="542"/>
      <c r="G71" s="542"/>
      <c r="H71" s="532">
        <v>48.1</v>
      </c>
      <c r="I71" s="540" t="str">
        <f t="shared" ref="I71:I78" si="31">IF(ISBLANK(H71)," ",IF(ISTEXT(H71)," ",IF(H71&lt;=48.1,"МСМК",IF(H71&lt;=51,"МС",IF(H71&lt;=53.5,"КМС",IF(H71&lt;=57.5,"I",IF(H71&lt;=102.1,"II",IF(H71&lt;=108,"III",IF(H71&lt;=113.7,"I юн",IF(H71&lt;=119.8,"II юн",IF(H71&lt;=126.2,"III юн","б/р")))))))))))</f>
        <v>МСМК</v>
      </c>
      <c r="J71" s="540" t="str">
        <f t="shared" ref="J71:J78" si="32">IF(ISBLANK(H71)," ",IF(ISTEXT(H71)," ",IF(H71&lt;=48.1,"МСМК",IF(H71&lt;=51,"МС",IF(H71&lt;=53.5,"КМС",IF(H71&lt;=57.5,"I",IF(H71&lt;=102.1,"II",IF(H71&lt;=108,"III",IF(H71&lt;=113.7,"I юн",IF(H71&lt;=119.8,"II юн",IF(H71&lt;=126.2,"III юн","б/р")))))))))))</f>
        <v>МСМК</v>
      </c>
      <c r="K71" s="859"/>
      <c r="L71" s="749">
        <f>H71</f>
        <v>48.1</v>
      </c>
      <c r="M71" s="747" t="str">
        <f t="shared" ref="M71:M78" si="33">IF(ISBLANK(L71)," ",IF(ISTEXT(L71)," ",IF(L71&lt;=48.1,"МСМК",IF(L71&lt;=51,"МС",IF(L71&lt;=53.3,"КМС",IF(L71&lt;=57.3,"I",IF(L71&lt;=101.9,"II",IF(L71&lt;=107.8,"III",IF(L71&lt;=113.5,"I юн",IF(L71&lt;=119.6,"II юн",IF(L71&lt;=126,"III юн","б/р")))))))))))</f>
        <v>МСМК</v>
      </c>
      <c r="N71" s="747" t="str">
        <f t="shared" ref="N71:N78" si="34">IF(ISBLANK(L71)," ",IF(ISTEXT(L71)," ",IF(L71&lt;=48.1,"МСМК",IF(L71&lt;=51,"МС",IF(L71&lt;=53.3,"КМС",IF(L71&lt;=57.3,"I",IF(L71&lt;=101.9,"II",IF(L71&lt;=107.8,"III",IF(L71&lt;=113.5,"I юн",IF(L71&lt;=119.6,"II юн",IF(L71&lt;=126,"III юн","б/р")))))))))))</f>
        <v>МСМК</v>
      </c>
      <c r="O71" s="747"/>
      <c r="P71" s="753"/>
      <c r="Q71" s="753"/>
      <c r="R71" s="753"/>
      <c r="S71" s="753"/>
      <c r="T71" s="753"/>
      <c r="U71" s="753"/>
      <c r="V71" s="753"/>
      <c r="W71" s="753"/>
      <c r="X71" s="753"/>
      <c r="Y71" s="753"/>
      <c r="Z71" s="753"/>
      <c r="AA71" s="753"/>
      <c r="AB71" s="753"/>
      <c r="AC71" s="753"/>
      <c r="AD71" s="753"/>
      <c r="AE71" s="753"/>
      <c r="AF71" s="753"/>
      <c r="AG71" s="753"/>
      <c r="AH71" s="753"/>
    </row>
    <row r="72" spans="3:34">
      <c r="C72" s="542"/>
      <c r="D72" s="542"/>
      <c r="E72" s="542"/>
      <c r="F72" s="542"/>
      <c r="G72" s="542"/>
      <c r="H72" s="532">
        <v>51</v>
      </c>
      <c r="I72" s="540" t="str">
        <f t="shared" si="31"/>
        <v>МС</v>
      </c>
      <c r="J72" s="540" t="str">
        <f t="shared" si="32"/>
        <v>МС</v>
      </c>
      <c r="K72" s="859"/>
      <c r="L72" s="749">
        <f>H72</f>
        <v>51</v>
      </c>
      <c r="M72" s="747" t="str">
        <f t="shared" si="33"/>
        <v>МС</v>
      </c>
      <c r="N72" s="747" t="str">
        <f t="shared" si="34"/>
        <v>МС</v>
      </c>
      <c r="O72" s="747"/>
      <c r="P72" s="753"/>
      <c r="Q72" s="753"/>
      <c r="R72" s="753"/>
      <c r="S72" s="753"/>
      <c r="T72" s="753"/>
      <c r="U72" s="753"/>
      <c r="V72" s="753"/>
      <c r="W72" s="753"/>
      <c r="X72" s="753"/>
      <c r="Y72" s="753"/>
      <c r="Z72" s="753"/>
      <c r="AA72" s="753"/>
      <c r="AB72" s="753"/>
      <c r="AC72" s="753"/>
      <c r="AD72" s="753"/>
      <c r="AE72" s="753"/>
      <c r="AF72" s="753"/>
      <c r="AG72" s="753"/>
      <c r="AH72" s="753"/>
    </row>
    <row r="73" spans="3:34">
      <c r="C73" s="542"/>
      <c r="D73" s="542"/>
      <c r="E73" s="542"/>
      <c r="F73" s="542"/>
      <c r="G73" s="542"/>
      <c r="H73" s="532">
        <v>53.5</v>
      </c>
      <c r="I73" s="540" t="str">
        <f t="shared" si="31"/>
        <v>КМС</v>
      </c>
      <c r="J73" s="540" t="str">
        <f t="shared" si="32"/>
        <v>КМС</v>
      </c>
      <c r="K73" s="859"/>
      <c r="L73" s="532">
        <f>H73-0.2</f>
        <v>53.3</v>
      </c>
      <c r="M73" s="540" t="str">
        <f t="shared" si="33"/>
        <v>КМС</v>
      </c>
      <c r="N73" s="540" t="str">
        <f t="shared" si="34"/>
        <v>КМС</v>
      </c>
      <c r="O73" s="540"/>
      <c r="P73" s="753"/>
      <c r="Q73" s="753"/>
      <c r="R73" s="753"/>
      <c r="S73" s="753"/>
      <c r="T73" s="753"/>
      <c r="U73" s="753"/>
      <c r="V73" s="753"/>
      <c r="W73" s="753"/>
      <c r="X73" s="753"/>
      <c r="Y73" s="753"/>
      <c r="Z73" s="753"/>
      <c r="AA73" s="753"/>
      <c r="AB73" s="753"/>
      <c r="AC73" s="753"/>
      <c r="AD73" s="753"/>
      <c r="AE73" s="753"/>
      <c r="AF73" s="753"/>
      <c r="AG73" s="753"/>
      <c r="AH73" s="753"/>
    </row>
    <row r="74" spans="3:34">
      <c r="C74" s="542"/>
      <c r="D74" s="542"/>
      <c r="E74" s="542"/>
      <c r="F74" s="542"/>
      <c r="G74" s="542"/>
      <c r="H74" s="532">
        <v>57.5</v>
      </c>
      <c r="I74" s="540" t="str">
        <f t="shared" si="31"/>
        <v>I</v>
      </c>
      <c r="J74" s="540" t="str">
        <f t="shared" si="32"/>
        <v>I</v>
      </c>
      <c r="K74" s="859"/>
      <c r="L74" s="532">
        <f t="shared" ref="L74:L79" si="35">H74-0.2</f>
        <v>57.3</v>
      </c>
      <c r="M74" s="540" t="str">
        <f t="shared" si="33"/>
        <v>I</v>
      </c>
      <c r="N74" s="540" t="str">
        <f t="shared" si="34"/>
        <v>I</v>
      </c>
      <c r="O74" s="540"/>
      <c r="P74" s="753"/>
      <c r="Q74" s="753"/>
      <c r="R74" s="753"/>
      <c r="S74" s="753"/>
      <c r="T74" s="753"/>
      <c r="U74" s="753"/>
      <c r="V74" s="753"/>
      <c r="W74" s="753"/>
      <c r="X74" s="753"/>
      <c r="Y74" s="753"/>
      <c r="Z74" s="753"/>
      <c r="AA74" s="753"/>
      <c r="AB74" s="753"/>
      <c r="AC74" s="753"/>
      <c r="AD74" s="753"/>
      <c r="AE74" s="753"/>
      <c r="AF74" s="753"/>
      <c r="AG74" s="753"/>
      <c r="AH74" s="753"/>
    </row>
    <row r="75" spans="3:34">
      <c r="C75" s="542"/>
      <c r="D75" s="542"/>
      <c r="E75" s="542"/>
      <c r="F75" s="542"/>
      <c r="G75" s="542"/>
      <c r="H75" s="532">
        <v>102.1</v>
      </c>
      <c r="I75" s="540" t="str">
        <f t="shared" si="31"/>
        <v>II</v>
      </c>
      <c r="J75" s="540" t="str">
        <f t="shared" si="32"/>
        <v>II</v>
      </c>
      <c r="K75" s="859"/>
      <c r="L75" s="532">
        <f t="shared" si="35"/>
        <v>101.89999999999999</v>
      </c>
      <c r="M75" s="540" t="str">
        <f t="shared" si="33"/>
        <v>II</v>
      </c>
      <c r="N75" s="540" t="str">
        <f t="shared" si="34"/>
        <v>II</v>
      </c>
      <c r="O75" s="540"/>
      <c r="P75" s="753"/>
      <c r="Q75" s="753"/>
      <c r="R75" s="753"/>
      <c r="S75" s="753"/>
      <c r="T75" s="753"/>
      <c r="U75" s="753"/>
      <c r="V75" s="753"/>
      <c r="W75" s="753"/>
      <c r="X75" s="753"/>
      <c r="Y75" s="753"/>
      <c r="Z75" s="753"/>
      <c r="AA75" s="753"/>
      <c r="AB75" s="753"/>
      <c r="AC75" s="753"/>
      <c r="AD75" s="753"/>
      <c r="AE75" s="753"/>
      <c r="AF75" s="753"/>
      <c r="AG75" s="753"/>
      <c r="AH75" s="753"/>
    </row>
    <row r="76" spans="3:34">
      <c r="C76" s="542"/>
      <c r="D76" s="542"/>
      <c r="E76" s="542"/>
      <c r="F76" s="542"/>
      <c r="G76" s="542"/>
      <c r="H76" s="532">
        <v>108</v>
      </c>
      <c r="I76" s="540" t="str">
        <f t="shared" si="31"/>
        <v>III</v>
      </c>
      <c r="J76" s="540" t="str">
        <f t="shared" si="32"/>
        <v>III</v>
      </c>
      <c r="K76" s="859"/>
      <c r="L76" s="532">
        <f t="shared" si="35"/>
        <v>107.8</v>
      </c>
      <c r="M76" s="540" t="str">
        <f t="shared" si="33"/>
        <v>III</v>
      </c>
      <c r="N76" s="540" t="str">
        <f t="shared" si="34"/>
        <v>III</v>
      </c>
      <c r="O76" s="540"/>
      <c r="P76" s="753"/>
      <c r="Q76" s="753"/>
      <c r="R76" s="753"/>
      <c r="S76" s="753"/>
      <c r="T76" s="753"/>
      <c r="U76" s="753"/>
      <c r="V76" s="753"/>
      <c r="W76" s="753"/>
      <c r="X76" s="753"/>
      <c r="Y76" s="753"/>
      <c r="Z76" s="753"/>
      <c r="AA76" s="753"/>
      <c r="AB76" s="753"/>
      <c r="AC76" s="753"/>
      <c r="AD76" s="753"/>
      <c r="AE76" s="753"/>
      <c r="AF76" s="753"/>
      <c r="AG76" s="753"/>
      <c r="AH76" s="753"/>
    </row>
    <row r="77" spans="3:34">
      <c r="C77" s="542"/>
      <c r="D77" s="542"/>
      <c r="E77" s="542"/>
      <c r="F77" s="542"/>
      <c r="G77" s="542"/>
      <c r="H77" s="145">
        <v>113.7</v>
      </c>
      <c r="I77" s="540" t="str">
        <f t="shared" si="31"/>
        <v>I юн</v>
      </c>
      <c r="J77" s="540" t="str">
        <f t="shared" si="32"/>
        <v>I юн</v>
      </c>
      <c r="K77" s="859"/>
      <c r="L77" s="532">
        <f t="shared" si="35"/>
        <v>113.5</v>
      </c>
      <c r="M77" s="540" t="str">
        <f t="shared" si="33"/>
        <v>I юн</v>
      </c>
      <c r="N77" s="540" t="str">
        <f t="shared" si="34"/>
        <v>I юн</v>
      </c>
      <c r="O77" s="540"/>
      <c r="P77" s="753"/>
      <c r="Q77" s="753"/>
      <c r="R77" s="753"/>
      <c r="S77" s="753"/>
      <c r="T77" s="753"/>
      <c r="U77" s="753"/>
      <c r="V77" s="753"/>
      <c r="W77" s="753"/>
      <c r="X77" s="753"/>
      <c r="Y77" s="753"/>
      <c r="Z77" s="753"/>
      <c r="AA77" s="753"/>
      <c r="AB77" s="753"/>
      <c r="AC77" s="753"/>
      <c r="AD77" s="753"/>
      <c r="AE77" s="753"/>
      <c r="AF77" s="753"/>
      <c r="AG77" s="753"/>
      <c r="AH77" s="753"/>
    </row>
    <row r="78" spans="3:34">
      <c r="C78" s="542"/>
      <c r="D78" s="542"/>
      <c r="E78" s="542"/>
      <c r="F78" s="542"/>
      <c r="G78" s="542"/>
      <c r="H78" s="145">
        <v>119.8</v>
      </c>
      <c r="I78" s="540" t="str">
        <f t="shared" si="31"/>
        <v>II юн</v>
      </c>
      <c r="J78" s="540" t="str">
        <f t="shared" si="32"/>
        <v>II юн</v>
      </c>
      <c r="K78" s="859"/>
      <c r="L78" s="532">
        <f t="shared" si="35"/>
        <v>119.6</v>
      </c>
      <c r="M78" s="540" t="str">
        <f t="shared" si="33"/>
        <v>II юн</v>
      </c>
      <c r="N78" s="540" t="str">
        <f t="shared" si="34"/>
        <v>II юн</v>
      </c>
      <c r="O78" s="540"/>
      <c r="P78" s="753"/>
      <c r="Q78" s="753"/>
      <c r="R78" s="753"/>
      <c r="S78" s="753"/>
      <c r="T78" s="753"/>
      <c r="U78" s="753"/>
      <c r="V78" s="753"/>
      <c r="W78" s="753"/>
      <c r="X78" s="753"/>
      <c r="Y78" s="753"/>
      <c r="Z78" s="753"/>
      <c r="AA78" s="753"/>
      <c r="AB78" s="753"/>
      <c r="AC78" s="753"/>
      <c r="AD78" s="753"/>
      <c r="AE78" s="753"/>
      <c r="AF78" s="753"/>
      <c r="AG78" s="753"/>
      <c r="AH78" s="753"/>
    </row>
    <row r="79" spans="3:34">
      <c r="C79" s="542"/>
      <c r="D79" s="542"/>
      <c r="E79" s="542"/>
      <c r="F79" s="542"/>
      <c r="G79" s="542"/>
      <c r="H79" s="145">
        <v>126.2</v>
      </c>
      <c r="I79" s="540" t="str">
        <f>IF(ISBLANK(H79)," ",IF(ISTEXT(H79)," ",IF(H79&lt;=48.1,"МСМК",IF(H79&lt;=51,"МС",IF(H79&lt;=53.5,"КМС",IF(H79&lt;=57.5,"I",IF(H79&lt;=102.1,"II",IF(H79&lt;=108,"III",IF(H79&lt;=113.7,"I юн",IF(H79&lt;=119.8,"II юн",IF(H79&lt;=126.2,"III юн","б/р")))))))))))</f>
        <v>III юн</v>
      </c>
      <c r="J79" s="540" t="str">
        <f>IF(ISBLANK(H79)," ",IF(ISTEXT(H79)," ",IF(H79&lt;=48.1,"МСМК",IF(H79&lt;=51,"МС",IF(H79&lt;=53.5,"КМС",IF(H79&lt;=57.5,"I",IF(H79&lt;=102.1,"II",IF(H79&lt;=108,"III",IF(H79&lt;=113.7,"I юн",IF(H79&lt;=119.8,"II юн",IF(H79&lt;=126.2,"III юн","б/р")))))))))))</f>
        <v>III юн</v>
      </c>
      <c r="K79" s="859"/>
      <c r="L79" s="532">
        <f t="shared" si="35"/>
        <v>126</v>
      </c>
      <c r="M79" s="540" t="str">
        <f>IF(ISBLANK(L79)," ",IF(ISTEXT(L79)," ",IF(L79&lt;=48.1,"МСМК",IF(L79&lt;=51,"МС",IF(L79&lt;=53.3,"КМС",IF(L79&lt;=57.3,"I",IF(L79&lt;=101.9,"II",IF(L79&lt;=107.8,"III",IF(L79&lt;=113.5,"I юн",IF(L79&lt;=119.6,"II юн",IF(L79&lt;=126,"III юн","б/р")))))))))))</f>
        <v>III юн</v>
      </c>
      <c r="N79" s="540" t="str">
        <f>IF(ISBLANK(L79)," ",IF(ISTEXT(L79)," ",IF(L79&lt;=48.1,"МСМК",IF(L79&lt;=51,"МС",IF(L79&lt;=53.3,"КМС",IF(L79&lt;=57.3,"I",IF(L79&lt;=101.9,"II",IF(L79&lt;=107.8,"III",IF(L79&lt;=113.5,"I юн",IF(L79&lt;=119.6,"II юн",IF(L79&lt;=126,"III юн","б/р")))))))))))</f>
        <v>III юн</v>
      </c>
      <c r="O79" s="540"/>
      <c r="P79" s="753"/>
      <c r="Q79" s="753"/>
      <c r="R79" s="753"/>
      <c r="S79" s="753"/>
      <c r="T79" s="753"/>
      <c r="U79" s="753"/>
      <c r="V79" s="753"/>
      <c r="W79" s="753"/>
      <c r="X79" s="753"/>
      <c r="Y79" s="753"/>
      <c r="Z79" s="753"/>
      <c r="AA79" s="753"/>
      <c r="AB79" s="753"/>
      <c r="AC79" s="753"/>
      <c r="AD79" s="753"/>
      <c r="AE79" s="753"/>
      <c r="AF79" s="753"/>
      <c r="AG79" s="753"/>
      <c r="AH79" s="753"/>
    </row>
    <row r="80" spans="3:34">
      <c r="C80" s="542"/>
      <c r="D80" s="542"/>
      <c r="E80" s="542"/>
      <c r="F80" s="542"/>
      <c r="G80" s="542"/>
      <c r="H80" s="145"/>
      <c r="I80" s="540" t="str">
        <f>IF(ISBLANK(H80)," ",IF(ISTEXT(H80)," ",IF(H80&lt;=48.8,"МСМК",IF(H80&lt;=51.5,"МС",IF(H80&lt;=54,"КМС",IF(H80&lt;=57.8,"I",IF(H80&lt;=102.2,"II",IF(H80&lt;=108.2,"III","б/р"))))))))</f>
        <v xml:space="preserve"> </v>
      </c>
      <c r="J80" s="540" t="str">
        <f>IF(ISBLANK(H80)," ",IF(ISTEXT(H80)," ",IF(H80&lt;=48.8,"МСМК",IF(H80&lt;=51.5,"МС",IF(H80&lt;=54,"КМС",IF(H80&lt;=57.8,"I",IF(H80&lt;=102.2,"II",IF(H80&lt;=108.2,"III","б/р"))))))))</f>
        <v xml:space="preserve"> </v>
      </c>
      <c r="K80" s="859"/>
      <c r="P80" s="743"/>
      <c r="Q80" s="743"/>
      <c r="R80" s="743"/>
      <c r="S80" s="743"/>
      <c r="T80" s="743"/>
      <c r="U80" s="743"/>
      <c r="V80" s="743"/>
      <c r="W80" s="743"/>
      <c r="X80" s="743"/>
      <c r="Y80" s="743"/>
      <c r="Z80" s="743"/>
      <c r="AA80" s="743"/>
      <c r="AB80" s="743"/>
      <c r="AC80" s="743"/>
      <c r="AD80" s="743"/>
      <c r="AE80" s="743"/>
      <c r="AF80" s="743"/>
      <c r="AG80" s="743"/>
      <c r="AH80" s="753"/>
    </row>
    <row r="81" spans="3:34">
      <c r="C81" s="524" t="s">
        <v>148</v>
      </c>
      <c r="D81" s="542"/>
      <c r="E81" s="542"/>
      <c r="F81" s="542"/>
      <c r="G81" s="542"/>
      <c r="H81" s="527"/>
      <c r="I81" s="541"/>
      <c r="J81" s="542"/>
      <c r="K81" s="860"/>
      <c r="P81" s="742"/>
      <c r="Q81" s="742"/>
      <c r="R81" s="742"/>
      <c r="S81" s="742"/>
      <c r="T81" s="742"/>
      <c r="U81" s="742"/>
      <c r="V81" s="742"/>
      <c r="W81" s="742"/>
      <c r="X81" s="742"/>
      <c r="Y81" s="742"/>
      <c r="Z81" s="742"/>
      <c r="AA81" s="742"/>
      <c r="AB81" s="742"/>
      <c r="AC81" s="742"/>
      <c r="AD81" s="742"/>
      <c r="AE81" s="742"/>
      <c r="AF81" s="742"/>
      <c r="AG81" s="742"/>
      <c r="AH81" s="753"/>
    </row>
    <row r="82" spans="3:34">
      <c r="C82" s="542"/>
      <c r="D82" s="542"/>
      <c r="E82" s="542"/>
      <c r="F82" s="542"/>
      <c r="G82" s="542"/>
      <c r="H82" s="532">
        <v>43.3</v>
      </c>
      <c r="I82" s="540" t="str">
        <f t="shared" ref="I82:I89" si="36">IF(ISBLANK(H82)," ",IF(ISTEXT(H82)," ",IF(H82&lt;=43.3,"МСМК",IF(H82&lt;=45.1,"МС",IF(H82&lt;=47.5,"КМС",IF(H82&lt;=51,"I",IF(H82&lt;=56.1,"II",IF(H82&lt;=100.6,"III",IF(H82&lt;=106.2,"I юн",IF(H82&lt;=112.2,"II юн",IF(H82&lt;=118.7,"III юн","б/р")))))))))))</f>
        <v>МСМК</v>
      </c>
      <c r="J82" s="540" t="str">
        <f t="shared" ref="J82:J89" si="37">IF(ISBLANK(H82)," ",IF(ISTEXT(H82)," ",IF(H82&lt;=43.3,"МСМК",IF(H82&lt;=45.1,"МС",IF(H82&lt;=47.5,"КМС",IF(H82&lt;=51,"I",IF(H82&lt;=56.1,"II",IF(H82&lt;=100.6,"III",IF(H82&lt;=106.2,"I юн",IF(H82&lt;=112.2,"II юн",IF(H82&lt;=118.7,"III юн","б/р")))))))))))</f>
        <v>МСМК</v>
      </c>
      <c r="K82" s="859"/>
      <c r="L82" s="749">
        <f>H82</f>
        <v>43.3</v>
      </c>
      <c r="M82" s="747" t="str">
        <f t="shared" ref="M82:M89" si="38">IF(ISBLANK(L82)," ",IF(ISTEXT(L82)," ",IF(L82&lt;=43.3,"МСМК",IF(L82&lt;=45.1,"МС",IF(L82&lt;=47.3,"КМС",IF(L82&lt;=50.8,"I",IF(L82&lt;=55.9,"II",IF(L82&lt;=100.4,"III",IF(L82&lt;=106,"I юн",IF(L82&lt;=112,"II юн",IF(L82&lt;=118.5,"III юн","б/р")))))))))))</f>
        <v>МСМК</v>
      </c>
      <c r="N82" s="747" t="str">
        <f t="shared" ref="N82:N89" si="39">IF(ISBLANK(L82)," ",IF(ISTEXT(L82)," ",IF(L82&lt;=43.3,"МСМК",IF(L82&lt;=45.1,"МС",IF(L82&lt;=47.3,"КМС",IF(L82&lt;=50.8,"I",IF(L82&lt;=55.9,"II",IF(L82&lt;=100.4,"III",IF(L82&lt;=106,"I юн",IF(L82&lt;=112,"II юн",IF(L82&lt;=118.5,"III юн","б/р")))))))))))</f>
        <v>МСМК</v>
      </c>
      <c r="O82" s="540"/>
      <c r="P82" s="753"/>
      <c r="Q82" s="753"/>
      <c r="R82" s="753"/>
      <c r="S82" s="753"/>
      <c r="T82" s="753"/>
      <c r="U82" s="753"/>
      <c r="V82" s="753"/>
      <c r="W82" s="753"/>
      <c r="X82" s="753"/>
      <c r="Y82" s="753"/>
      <c r="Z82" s="753"/>
      <c r="AA82" s="753"/>
      <c r="AB82" s="753"/>
      <c r="AC82" s="753"/>
      <c r="AD82" s="753"/>
      <c r="AE82" s="753"/>
      <c r="AF82" s="753"/>
      <c r="AG82" s="753"/>
      <c r="AH82" s="753"/>
    </row>
    <row r="83" spans="3:34">
      <c r="C83" s="542"/>
      <c r="D83" s="542"/>
      <c r="E83" s="542"/>
      <c r="F83" s="542"/>
      <c r="G83" s="542"/>
      <c r="H83" s="532">
        <v>45.1</v>
      </c>
      <c r="I83" s="540" t="str">
        <f t="shared" si="36"/>
        <v>МС</v>
      </c>
      <c r="J83" s="540" t="str">
        <f t="shared" si="37"/>
        <v>МС</v>
      </c>
      <c r="K83" s="859"/>
      <c r="L83" s="749">
        <f>H83</f>
        <v>45.1</v>
      </c>
      <c r="M83" s="747" t="str">
        <f t="shared" si="38"/>
        <v>МС</v>
      </c>
      <c r="N83" s="747" t="str">
        <f t="shared" si="39"/>
        <v>МС</v>
      </c>
      <c r="O83" s="540"/>
      <c r="P83" s="753"/>
      <c r="Q83" s="753"/>
      <c r="R83" s="753"/>
      <c r="S83" s="753"/>
      <c r="T83" s="753"/>
      <c r="U83" s="753"/>
      <c r="V83" s="753"/>
      <c r="W83" s="753"/>
      <c r="X83" s="753"/>
      <c r="Y83" s="753"/>
      <c r="Z83" s="753"/>
      <c r="AA83" s="753"/>
      <c r="AB83" s="753"/>
      <c r="AC83" s="753"/>
      <c r="AD83" s="753"/>
      <c r="AE83" s="753"/>
      <c r="AF83" s="753"/>
      <c r="AG83" s="753"/>
      <c r="AH83" s="753"/>
    </row>
    <row r="84" spans="3:34">
      <c r="C84" s="542"/>
      <c r="D84" s="542"/>
      <c r="E84" s="542"/>
      <c r="F84" s="542"/>
      <c r="G84" s="542"/>
      <c r="H84" s="532">
        <v>47.5</v>
      </c>
      <c r="I84" s="540" t="str">
        <f t="shared" si="36"/>
        <v>КМС</v>
      </c>
      <c r="J84" s="540" t="str">
        <f t="shared" si="37"/>
        <v>КМС</v>
      </c>
      <c r="K84" s="859"/>
      <c r="L84" s="532">
        <f>H84-0.2</f>
        <v>47.3</v>
      </c>
      <c r="M84" s="540" t="str">
        <f t="shared" si="38"/>
        <v>КМС</v>
      </c>
      <c r="N84" s="540" t="str">
        <f t="shared" si="39"/>
        <v>КМС</v>
      </c>
      <c r="O84" s="540"/>
      <c r="P84" s="753"/>
      <c r="Q84" s="753"/>
      <c r="R84" s="753"/>
      <c r="S84" s="753"/>
      <c r="T84" s="753"/>
      <c r="U84" s="753"/>
      <c r="V84" s="753"/>
      <c r="W84" s="753"/>
      <c r="X84" s="753"/>
      <c r="Y84" s="753"/>
      <c r="Z84" s="753"/>
      <c r="AA84" s="753"/>
      <c r="AB84" s="753"/>
      <c r="AC84" s="753"/>
      <c r="AD84" s="753"/>
      <c r="AE84" s="753"/>
      <c r="AF84" s="753"/>
      <c r="AG84" s="753"/>
      <c r="AH84" s="753"/>
    </row>
    <row r="85" spans="3:34">
      <c r="C85" s="542"/>
      <c r="D85" s="542"/>
      <c r="E85" s="542"/>
      <c r="F85" s="542"/>
      <c r="G85" s="542"/>
      <c r="H85" s="532">
        <v>51</v>
      </c>
      <c r="I85" s="540" t="str">
        <f t="shared" si="36"/>
        <v>I</v>
      </c>
      <c r="J85" s="540" t="str">
        <f t="shared" si="37"/>
        <v>I</v>
      </c>
      <c r="K85" s="859"/>
      <c r="L85" s="532">
        <f t="shared" ref="L85:L90" si="40">H85-0.2</f>
        <v>50.8</v>
      </c>
      <c r="M85" s="540" t="str">
        <f t="shared" si="38"/>
        <v>I</v>
      </c>
      <c r="N85" s="540" t="str">
        <f t="shared" si="39"/>
        <v>I</v>
      </c>
      <c r="O85" s="540"/>
      <c r="P85" s="753"/>
      <c r="Q85" s="753"/>
      <c r="R85" s="753"/>
      <c r="S85" s="753"/>
      <c r="T85" s="753"/>
      <c r="U85" s="753"/>
      <c r="V85" s="753"/>
      <c r="W85" s="753"/>
      <c r="X85" s="753"/>
      <c r="Y85" s="753"/>
      <c r="Z85" s="753"/>
      <c r="AA85" s="753"/>
      <c r="AB85" s="753"/>
      <c r="AC85" s="753"/>
      <c r="AD85" s="753"/>
      <c r="AE85" s="753"/>
      <c r="AF85" s="753"/>
      <c r="AG85" s="753"/>
      <c r="AH85" s="753"/>
    </row>
    <row r="86" spans="3:34">
      <c r="C86" s="542"/>
      <c r="D86" s="542"/>
      <c r="E86" s="542"/>
      <c r="F86" s="542"/>
      <c r="G86" s="542"/>
      <c r="H86" s="532">
        <v>56.1</v>
      </c>
      <c r="I86" s="540" t="str">
        <f t="shared" si="36"/>
        <v>II</v>
      </c>
      <c r="J86" s="540" t="str">
        <f t="shared" si="37"/>
        <v>II</v>
      </c>
      <c r="K86" s="859"/>
      <c r="L86" s="532">
        <f t="shared" si="40"/>
        <v>55.9</v>
      </c>
      <c r="M86" s="540" t="str">
        <f t="shared" si="38"/>
        <v>II</v>
      </c>
      <c r="N86" s="540" t="str">
        <f t="shared" si="39"/>
        <v>II</v>
      </c>
      <c r="O86" s="540"/>
      <c r="P86" s="753"/>
      <c r="Q86" s="753"/>
      <c r="R86" s="753"/>
      <c r="S86" s="753"/>
      <c r="T86" s="753"/>
      <c r="U86" s="753"/>
      <c r="V86" s="753"/>
      <c r="W86" s="753"/>
      <c r="X86" s="753"/>
      <c r="Y86" s="753"/>
      <c r="Z86" s="753"/>
      <c r="AA86" s="753"/>
      <c r="AB86" s="753"/>
      <c r="AC86" s="753"/>
      <c r="AD86" s="753"/>
      <c r="AE86" s="753"/>
      <c r="AF86" s="753"/>
      <c r="AG86" s="753"/>
      <c r="AH86" s="753"/>
    </row>
    <row r="87" spans="3:34">
      <c r="C87" s="542"/>
      <c r="D87" s="542"/>
      <c r="E87" s="542"/>
      <c r="F87" s="542"/>
      <c r="G87" s="542"/>
      <c r="H87" s="532">
        <v>100.6</v>
      </c>
      <c r="I87" s="540" t="str">
        <f t="shared" si="36"/>
        <v>III</v>
      </c>
      <c r="J87" s="540" t="str">
        <f t="shared" si="37"/>
        <v>III</v>
      </c>
      <c r="K87" s="859"/>
      <c r="L87" s="532">
        <f t="shared" si="40"/>
        <v>100.39999999999999</v>
      </c>
      <c r="M87" s="540" t="str">
        <f t="shared" si="38"/>
        <v>III</v>
      </c>
      <c r="N87" s="540" t="str">
        <f t="shared" si="39"/>
        <v>III</v>
      </c>
      <c r="O87" s="540"/>
      <c r="P87" s="753"/>
      <c r="Q87" s="753"/>
      <c r="R87" s="753"/>
      <c r="S87" s="753"/>
      <c r="T87" s="753"/>
      <c r="U87" s="753"/>
      <c r="V87" s="753"/>
      <c r="W87" s="753"/>
      <c r="X87" s="753"/>
      <c r="Y87" s="753"/>
      <c r="Z87" s="753"/>
      <c r="AA87" s="753"/>
      <c r="AB87" s="753"/>
      <c r="AC87" s="753"/>
      <c r="AD87" s="753"/>
      <c r="AE87" s="753"/>
      <c r="AF87" s="753"/>
      <c r="AG87" s="753"/>
      <c r="AH87" s="753"/>
    </row>
    <row r="88" spans="3:34">
      <c r="C88" s="542"/>
      <c r="D88" s="542"/>
      <c r="E88" s="542"/>
      <c r="F88" s="542"/>
      <c r="G88" s="542"/>
      <c r="H88" s="145">
        <v>106.2</v>
      </c>
      <c r="I88" s="540" t="str">
        <f t="shared" si="36"/>
        <v>I юн</v>
      </c>
      <c r="J88" s="540" t="str">
        <f t="shared" si="37"/>
        <v>I юн</v>
      </c>
      <c r="K88" s="859"/>
      <c r="L88" s="532">
        <f t="shared" si="40"/>
        <v>106</v>
      </c>
      <c r="M88" s="540" t="str">
        <f t="shared" si="38"/>
        <v>I юн</v>
      </c>
      <c r="N88" s="540" t="str">
        <f t="shared" si="39"/>
        <v>I юн</v>
      </c>
      <c r="O88" s="540"/>
      <c r="P88" s="753"/>
      <c r="Q88" s="753"/>
      <c r="R88" s="753"/>
      <c r="S88" s="753"/>
      <c r="T88" s="753"/>
      <c r="U88" s="753"/>
      <c r="V88" s="753"/>
      <c r="W88" s="753"/>
      <c r="X88" s="753"/>
      <c r="Y88" s="753"/>
      <c r="Z88" s="753"/>
      <c r="AA88" s="753"/>
      <c r="AB88" s="753"/>
      <c r="AC88" s="753"/>
      <c r="AD88" s="753"/>
      <c r="AE88" s="753"/>
      <c r="AF88" s="753"/>
      <c r="AG88" s="753"/>
      <c r="AH88" s="753"/>
    </row>
    <row r="89" spans="3:34">
      <c r="C89" s="542"/>
      <c r="D89" s="542"/>
      <c r="E89" s="542"/>
      <c r="F89" s="542"/>
      <c r="G89" s="542"/>
      <c r="H89" s="145">
        <v>112.2</v>
      </c>
      <c r="I89" s="540" t="str">
        <f t="shared" si="36"/>
        <v>II юн</v>
      </c>
      <c r="J89" s="540" t="str">
        <f t="shared" si="37"/>
        <v>II юн</v>
      </c>
      <c r="K89" s="859"/>
      <c r="L89" s="532">
        <f t="shared" si="40"/>
        <v>112</v>
      </c>
      <c r="M89" s="540" t="str">
        <f t="shared" si="38"/>
        <v>II юн</v>
      </c>
      <c r="N89" s="540" t="str">
        <f t="shared" si="39"/>
        <v>II юн</v>
      </c>
      <c r="O89" s="540"/>
      <c r="P89" s="753"/>
      <c r="Q89" s="753"/>
      <c r="R89" s="753"/>
      <c r="S89" s="753"/>
      <c r="T89" s="753"/>
      <c r="U89" s="753"/>
      <c r="V89" s="753"/>
      <c r="W89" s="753"/>
      <c r="X89" s="753"/>
      <c r="Y89" s="753"/>
      <c r="Z89" s="753"/>
      <c r="AA89" s="753"/>
      <c r="AB89" s="753"/>
      <c r="AC89" s="753"/>
      <c r="AD89" s="753"/>
      <c r="AE89" s="753"/>
      <c r="AF89" s="753"/>
      <c r="AG89" s="753"/>
      <c r="AH89" s="753"/>
    </row>
    <row r="90" spans="3:34">
      <c r="C90" s="542"/>
      <c r="D90" s="542"/>
      <c r="E90" s="542"/>
      <c r="F90" s="542"/>
      <c r="G90" s="542"/>
      <c r="H90" s="145">
        <v>118.7</v>
      </c>
      <c r="I90" s="540" t="str">
        <f>IF(ISBLANK(H90)," ",IF(ISTEXT(H90)," ",IF(H90&lt;=43.3,"МСМК",IF(H90&lt;=45.1,"МС",IF(H90&lt;=47.5,"КМС",IF(H90&lt;=51,"I",IF(H90&lt;=56.1,"II",IF(H90&lt;=100.6,"III",IF(H90&lt;=106.2,"I юн",IF(H90&lt;=112.2,"II юн",IF(H90&lt;=118.7,"III юн","б/р")))))))))))</f>
        <v>III юн</v>
      </c>
      <c r="J90" s="540" t="str">
        <f>IF(ISBLANK(H90)," ",IF(ISTEXT(H90)," ",IF(H90&lt;=43.3,"МСМК",IF(H90&lt;=45.1,"МС",IF(H90&lt;=47.5,"КМС",IF(H90&lt;=51,"I",IF(H90&lt;=56.1,"II",IF(H90&lt;=100.6,"III",IF(H90&lt;=106.2,"I юн",IF(H90&lt;=112.2,"II юн",IF(H90&lt;=118.7,"III юн","б/р")))))))))))</f>
        <v>III юн</v>
      </c>
      <c r="K90" s="859"/>
      <c r="L90" s="532">
        <f t="shared" si="40"/>
        <v>118.5</v>
      </c>
      <c r="M90" s="540" t="str">
        <f>IF(ISBLANK(L90)," ",IF(ISTEXT(L90)," ",IF(L90&lt;=43.3,"МСМК",IF(L90&lt;=45.1,"МС",IF(L90&lt;=47.3,"КМС",IF(L90&lt;=50.8,"I",IF(L90&lt;=55.9,"II",IF(L90&lt;=100.4,"III",IF(L90&lt;=106,"I юн",IF(L90&lt;=112,"II юн",IF(L90&lt;=118.5,"III юн","б/р")))))))))))</f>
        <v>III юн</v>
      </c>
      <c r="N90" s="540" t="str">
        <f>IF(ISBLANK(L90)," ",IF(ISTEXT(L90)," ",IF(L90&lt;=43.3,"МСМК",IF(L90&lt;=45.1,"МС",IF(L90&lt;=47.3,"КМС",IF(L90&lt;=50.8,"I",IF(L90&lt;=55.9,"II",IF(L90&lt;=100.4,"III",IF(L90&lt;=106,"I юн",IF(L90&lt;=112,"II юн",IF(L90&lt;=118.5,"III юн","б/р")))))))))))</f>
        <v>III юн</v>
      </c>
      <c r="O90" s="540"/>
      <c r="P90" s="753"/>
      <c r="Q90" s="753"/>
      <c r="R90" s="753"/>
      <c r="S90" s="753"/>
      <c r="T90" s="753"/>
      <c r="U90" s="753"/>
      <c r="V90" s="753"/>
      <c r="W90" s="753"/>
      <c r="X90" s="753"/>
      <c r="Y90" s="753"/>
      <c r="Z90" s="753"/>
      <c r="AA90" s="753"/>
      <c r="AB90" s="753"/>
      <c r="AC90" s="753"/>
      <c r="AD90" s="753"/>
      <c r="AE90" s="753"/>
      <c r="AF90" s="753"/>
      <c r="AG90" s="753"/>
      <c r="AH90" s="753"/>
    </row>
    <row r="91" spans="3:34">
      <c r="C91" s="542"/>
      <c r="D91" s="542"/>
      <c r="E91" s="542"/>
      <c r="F91" s="542"/>
      <c r="G91" s="542"/>
      <c r="H91" s="145"/>
      <c r="I91" s="540" t="str">
        <f>IF(ISBLANK(H91)," ",IF(ISTEXT(H91)," ",IF(H91&lt;=44,"МСМК",IF(H91&lt;=46,"МС",IF(H91&lt;=48.3,"КМС",IF(H91&lt;=51.7,"I",IF(H91&lt;=56.2,"II",IF(H91&lt;=100.7,"III","б/р"))))))))</f>
        <v xml:space="preserve"> </v>
      </c>
      <c r="J91" s="540" t="str">
        <f>IF(ISBLANK(H91)," ",IF(ISTEXT(H91)," ",IF(H91&lt;=44,"МСМК",IF(H91&lt;=46,"МС",IF(H91&lt;=48.3,"КМС",IF(H91&lt;=51.7,"I",IF(H91&lt;=56.2,"II",IF(H91&lt;=100.7,"III","б/р"))))))))</f>
        <v xml:space="preserve"> </v>
      </c>
      <c r="K91" s="859"/>
      <c r="P91" s="753"/>
      <c r="Q91" s="753"/>
      <c r="R91" s="753"/>
      <c r="S91" s="753"/>
      <c r="T91" s="753"/>
      <c r="U91" s="753"/>
      <c r="V91" s="753"/>
      <c r="W91" s="753"/>
      <c r="X91" s="753"/>
      <c r="Y91" s="753"/>
      <c r="Z91" s="753"/>
      <c r="AA91" s="753"/>
      <c r="AB91" s="753"/>
      <c r="AC91" s="753"/>
      <c r="AD91" s="753"/>
      <c r="AE91" s="753"/>
      <c r="AF91" s="753"/>
      <c r="AG91" s="753"/>
      <c r="AH91" s="753"/>
    </row>
    <row r="92" spans="3:34">
      <c r="C92" s="524" t="s">
        <v>128</v>
      </c>
      <c r="D92" s="525"/>
      <c r="E92" s="526"/>
      <c r="F92" s="524"/>
      <c r="G92" s="524"/>
      <c r="H92" s="527"/>
      <c r="I92" s="532"/>
      <c r="J92" s="524"/>
      <c r="K92" s="861"/>
      <c r="P92" s="753"/>
      <c r="Q92" s="753"/>
      <c r="R92" s="753"/>
      <c r="S92" s="753"/>
      <c r="T92" s="753"/>
      <c r="U92" s="753"/>
      <c r="V92" s="753"/>
      <c r="W92" s="753"/>
      <c r="X92" s="753"/>
      <c r="Y92" s="753"/>
      <c r="Z92" s="753"/>
      <c r="AA92" s="753"/>
      <c r="AB92" s="753"/>
      <c r="AC92" s="753"/>
      <c r="AD92" s="753"/>
      <c r="AE92" s="753"/>
      <c r="AF92" s="753"/>
      <c r="AG92" s="753"/>
      <c r="AH92" s="753"/>
    </row>
    <row r="93" spans="3:34">
      <c r="C93" s="762"/>
      <c r="D93" s="531"/>
      <c r="E93" s="586"/>
      <c r="F93" s="762"/>
      <c r="G93" s="762"/>
      <c r="H93" s="146">
        <v>130.80000000000001</v>
      </c>
      <c r="I93" s="540" t="str">
        <f t="shared" ref="I93:I100" si="41">IF(ISBLANK(H93)," ",IF(ISTEXT(H93)," ",IF(H93&lt;=130.89,"МСМК",IF(H93&lt;=136.2,"МС",IF(H93&lt;=141.2,"КМС",IF(H93&lt;=147.7,"I",IF(H93&lt;=157.7,"II",IF(H93&lt;=206.4,"III",IF(H93&lt;=220.2,"I юн",IF(H93&lt;=231.4,"II юн",IF(H93&lt;=242.4,"III юн","б/р")))))))))))</f>
        <v>МСМК</v>
      </c>
      <c r="J93" s="540" t="str">
        <f t="shared" ref="J93:J100" si="42">IF(ISBLANK(H93)," ",IF(ISTEXT(H93)," ",IF(H93&lt;=130.89,"МСМК",IF(H93&lt;=136.2,"МС",IF(H93&lt;=141.2,"КМС",IF(H93&lt;=147.7,"I",IF(H93&lt;=157.7,"II",IF(H93&lt;=206.4,"III",IF(H93&lt;=220.2,"I юн",IF(H93&lt;=231.4,"II юн",IF(H93&lt;=242.4,"III юн","б/р")))))))))))</f>
        <v>МСМК</v>
      </c>
      <c r="K93" s="859"/>
      <c r="L93" s="748">
        <f>H93</f>
        <v>130.80000000000001</v>
      </c>
      <c r="M93" s="747" t="str">
        <f>IF(ISBLANK(L93)," ",IF(ISTEXT(L93)," ",IF(L93&lt;=130.8,"МСМК",IF(L93&lt;=136.2,"МС",IF(L93&lt;=141,"КМС",IF(L93&lt;=147.5,"I",IF(L93&lt;=157.5,"II",IF(L93&lt;=206.2,"III",IF(L93&lt;=220,"I юн",IF(L93&lt;=231.2,"II юн",IF(L93&lt;=242.2,"III юн","б/р")))))))))))</f>
        <v>МСМК</v>
      </c>
      <c r="N93" s="747" t="str">
        <f>IF(ISBLANK(L93)," ",IF(ISTEXT(L93)," ",IF(L93&lt;=130.8,"МСМК",IF(L93&lt;=136.2,"МС",IF(L93&lt;=141,"КМС",IF(L93&lt;=147.5,"I",IF(L93&lt;=157.5,"II",IF(L93&lt;=206.2,"III",IF(L93&lt;=220,"I юн",IF(L93&lt;=231.2,"II юн",IF(L93&lt;=242.2,"III юн","б/р")))))))))))</f>
        <v>МСМК</v>
      </c>
      <c r="P93" s="753"/>
      <c r="Q93" s="753"/>
      <c r="R93" s="753"/>
      <c r="S93" s="753"/>
      <c r="T93" s="753"/>
      <c r="U93" s="753"/>
      <c r="V93" s="753"/>
      <c r="W93" s="753"/>
      <c r="X93" s="753"/>
      <c r="Y93" s="753"/>
      <c r="Z93" s="753"/>
      <c r="AA93" s="753"/>
      <c r="AB93" s="753"/>
      <c r="AC93" s="753"/>
      <c r="AD93" s="753"/>
      <c r="AE93" s="753"/>
      <c r="AF93" s="753"/>
      <c r="AG93" s="753"/>
      <c r="AH93" s="753"/>
    </row>
    <row r="94" spans="3:34">
      <c r="C94" s="762"/>
      <c r="D94" s="531"/>
      <c r="E94" s="586"/>
      <c r="F94" s="762"/>
      <c r="G94" s="762"/>
      <c r="H94" s="146">
        <v>136.19999999999999</v>
      </c>
      <c r="I94" s="540" t="str">
        <f t="shared" si="41"/>
        <v>МС</v>
      </c>
      <c r="J94" s="540" t="str">
        <f t="shared" si="42"/>
        <v>МС</v>
      </c>
      <c r="K94" s="859"/>
      <c r="L94" s="748">
        <f>H94</f>
        <v>136.19999999999999</v>
      </c>
      <c r="M94" s="747" t="str">
        <f t="shared" ref="M94:M101" si="43">IF(ISBLANK(L94)," ",IF(ISTEXT(L94)," ",IF(L94&lt;=130.8,"МСМК",IF(L94&lt;=136.2,"МС",IF(L94&lt;=141,"КМС",IF(L94&lt;=147.5,"I",IF(L94&lt;=157.5,"II",IF(L94&lt;=206.2,"III",IF(L94&lt;=220,"I юн",IF(L94&lt;=231.2,"II юн",IF(L94&lt;=242.2,"III юн","б/р")))))))))))</f>
        <v>МС</v>
      </c>
      <c r="N94" s="747" t="str">
        <f t="shared" ref="N94:N101" si="44">IF(ISBLANK(L94)," ",IF(ISTEXT(L94)," ",IF(L94&lt;=130.8,"МСМК",IF(L94&lt;=136.2,"МС",IF(L94&lt;=141,"КМС",IF(L94&lt;=147.5,"I",IF(L94&lt;=157.5,"II",IF(L94&lt;=206.2,"III",IF(L94&lt;=220,"I юн",IF(L94&lt;=231.2,"II юн",IF(L94&lt;=242.2,"III юн","б/р")))))))))))</f>
        <v>МС</v>
      </c>
      <c r="P94" s="753"/>
      <c r="Q94" s="753"/>
      <c r="R94" s="753"/>
      <c r="S94" s="753"/>
      <c r="T94" s="753"/>
      <c r="U94" s="753"/>
      <c r="V94" s="753"/>
      <c r="W94" s="753"/>
      <c r="X94" s="753"/>
      <c r="Y94" s="753"/>
      <c r="Z94" s="753"/>
      <c r="AA94" s="753"/>
      <c r="AB94" s="753"/>
      <c r="AC94" s="753"/>
      <c r="AD94" s="753"/>
      <c r="AE94" s="753"/>
      <c r="AF94" s="753"/>
      <c r="AG94" s="753"/>
      <c r="AH94" s="753"/>
    </row>
    <row r="95" spans="3:34">
      <c r="C95" s="762"/>
      <c r="D95" s="531"/>
      <c r="E95" s="586"/>
      <c r="F95" s="762"/>
      <c r="G95" s="762"/>
      <c r="H95" s="146">
        <v>141.19999999999999</v>
      </c>
      <c r="I95" s="540" t="str">
        <f t="shared" si="41"/>
        <v>КМС</v>
      </c>
      <c r="J95" s="540" t="str">
        <f t="shared" si="42"/>
        <v>КМС</v>
      </c>
      <c r="K95" s="859"/>
      <c r="L95" s="146">
        <f>H95-0.2</f>
        <v>141</v>
      </c>
      <c r="M95" s="540" t="str">
        <f t="shared" si="43"/>
        <v>КМС</v>
      </c>
      <c r="N95" s="540" t="str">
        <f t="shared" si="44"/>
        <v>КМС</v>
      </c>
      <c r="P95" s="753"/>
      <c r="Q95" s="753"/>
      <c r="R95" s="753"/>
      <c r="S95" s="753"/>
      <c r="T95" s="753"/>
      <c r="U95" s="753"/>
      <c r="V95" s="753"/>
      <c r="W95" s="753"/>
      <c r="X95" s="753"/>
      <c r="Y95" s="753"/>
      <c r="Z95" s="753"/>
      <c r="AA95" s="753"/>
      <c r="AB95" s="753"/>
      <c r="AC95" s="753"/>
      <c r="AD95" s="753"/>
      <c r="AE95" s="753"/>
      <c r="AF95" s="753"/>
      <c r="AG95" s="753"/>
      <c r="AH95" s="753"/>
    </row>
    <row r="96" spans="3:34">
      <c r="C96" s="762"/>
      <c r="D96" s="531"/>
      <c r="E96" s="586"/>
      <c r="F96" s="762"/>
      <c r="G96" s="762"/>
      <c r="H96" s="146">
        <v>147.69999999999999</v>
      </c>
      <c r="I96" s="540" t="str">
        <f t="shared" si="41"/>
        <v>I</v>
      </c>
      <c r="J96" s="540" t="str">
        <f t="shared" si="42"/>
        <v>I</v>
      </c>
      <c r="K96" s="859"/>
      <c r="L96" s="146">
        <f t="shared" ref="L96:L101" si="45">H96-0.2</f>
        <v>147.5</v>
      </c>
      <c r="M96" s="540" t="str">
        <f t="shared" si="43"/>
        <v>I</v>
      </c>
      <c r="N96" s="540" t="str">
        <f t="shared" si="44"/>
        <v>I</v>
      </c>
      <c r="P96" s="753"/>
      <c r="Q96" s="753"/>
      <c r="R96" s="753"/>
      <c r="S96" s="753"/>
      <c r="T96" s="753"/>
      <c r="U96" s="753"/>
      <c r="V96" s="753"/>
      <c r="W96" s="753"/>
      <c r="X96" s="753"/>
      <c r="Y96" s="753"/>
      <c r="Z96" s="753"/>
      <c r="AA96" s="753"/>
      <c r="AB96" s="753"/>
      <c r="AC96" s="753"/>
      <c r="AD96" s="753"/>
      <c r="AE96" s="753"/>
      <c r="AF96" s="753"/>
      <c r="AG96" s="753"/>
      <c r="AH96" s="753"/>
    </row>
    <row r="97" spans="3:34">
      <c r="C97" s="762"/>
      <c r="D97" s="531"/>
      <c r="E97" s="586"/>
      <c r="F97" s="762"/>
      <c r="G97" s="762"/>
      <c r="H97" s="146">
        <v>157.69999999999999</v>
      </c>
      <c r="I97" s="540" t="str">
        <f t="shared" si="41"/>
        <v>II</v>
      </c>
      <c r="J97" s="540" t="str">
        <f t="shared" si="42"/>
        <v>II</v>
      </c>
      <c r="K97" s="859"/>
      <c r="L97" s="146">
        <f t="shared" si="45"/>
        <v>157.5</v>
      </c>
      <c r="M97" s="540" t="str">
        <f t="shared" si="43"/>
        <v>II</v>
      </c>
      <c r="N97" s="540" t="str">
        <f t="shared" si="44"/>
        <v>II</v>
      </c>
      <c r="P97" s="753"/>
      <c r="Q97" s="753"/>
      <c r="R97" s="753"/>
      <c r="S97" s="753"/>
      <c r="T97" s="753"/>
      <c r="U97" s="753"/>
      <c r="V97" s="753"/>
      <c r="W97" s="753"/>
      <c r="X97" s="753"/>
      <c r="Y97" s="753"/>
      <c r="Z97" s="753"/>
      <c r="AA97" s="753"/>
      <c r="AB97" s="753"/>
      <c r="AC97" s="753"/>
      <c r="AD97" s="753"/>
      <c r="AE97" s="753"/>
      <c r="AF97" s="753"/>
      <c r="AG97" s="753"/>
      <c r="AH97" s="753"/>
    </row>
    <row r="98" spans="3:34">
      <c r="C98" s="762"/>
      <c r="D98" s="531"/>
      <c r="E98" s="586"/>
      <c r="F98" s="762"/>
      <c r="G98" s="762"/>
      <c r="H98" s="146">
        <v>206.4</v>
      </c>
      <c r="I98" s="540" t="str">
        <f t="shared" si="41"/>
        <v>III</v>
      </c>
      <c r="J98" s="540" t="str">
        <f t="shared" si="42"/>
        <v>III</v>
      </c>
      <c r="K98" s="859"/>
      <c r="L98" s="146">
        <f t="shared" si="45"/>
        <v>206.20000000000002</v>
      </c>
      <c r="M98" s="540" t="str">
        <f t="shared" si="43"/>
        <v>III</v>
      </c>
      <c r="N98" s="540" t="str">
        <f t="shared" si="44"/>
        <v>III</v>
      </c>
      <c r="P98" s="753"/>
      <c r="Q98" s="753"/>
      <c r="R98" s="753"/>
      <c r="S98" s="753"/>
      <c r="T98" s="753"/>
      <c r="U98" s="753"/>
      <c r="V98" s="753"/>
      <c r="W98" s="753"/>
      <c r="X98" s="753"/>
      <c r="Y98" s="753"/>
      <c r="Z98" s="753"/>
      <c r="AA98" s="753"/>
      <c r="AB98" s="753"/>
      <c r="AC98" s="753"/>
      <c r="AD98" s="753"/>
      <c r="AE98" s="753"/>
      <c r="AF98" s="753"/>
      <c r="AG98" s="753"/>
      <c r="AH98" s="753"/>
    </row>
    <row r="99" spans="3:34">
      <c r="C99" s="762"/>
      <c r="D99" s="531"/>
      <c r="E99" s="586"/>
      <c r="F99" s="762"/>
      <c r="G99" s="762"/>
      <c r="H99" s="145">
        <v>220.2</v>
      </c>
      <c r="I99" s="540" t="str">
        <f t="shared" si="41"/>
        <v>I юн</v>
      </c>
      <c r="J99" s="540" t="str">
        <f t="shared" si="42"/>
        <v>I юн</v>
      </c>
      <c r="K99" s="859"/>
      <c r="L99" s="146">
        <f t="shared" si="45"/>
        <v>220</v>
      </c>
      <c r="M99" s="540" t="str">
        <f t="shared" si="43"/>
        <v>I юн</v>
      </c>
      <c r="N99" s="540" t="str">
        <f t="shared" si="44"/>
        <v>I юн</v>
      </c>
      <c r="P99" s="753"/>
      <c r="Q99" s="753"/>
      <c r="R99" s="753"/>
      <c r="S99" s="753"/>
      <c r="T99" s="753"/>
      <c r="U99" s="753"/>
      <c r="V99" s="753"/>
      <c r="W99" s="753"/>
      <c r="X99" s="753"/>
      <c r="Y99" s="753"/>
      <c r="Z99" s="753"/>
      <c r="AA99" s="753"/>
      <c r="AB99" s="753"/>
      <c r="AC99" s="753"/>
      <c r="AD99" s="753"/>
      <c r="AE99" s="753"/>
      <c r="AF99" s="753"/>
      <c r="AG99" s="753"/>
      <c r="AH99" s="753"/>
    </row>
    <row r="100" spans="3:34">
      <c r="C100" s="762"/>
      <c r="D100" s="531"/>
      <c r="E100" s="586"/>
      <c r="F100" s="762"/>
      <c r="G100" s="762"/>
      <c r="H100" s="145">
        <v>231.4</v>
      </c>
      <c r="I100" s="540" t="str">
        <f t="shared" si="41"/>
        <v>II юн</v>
      </c>
      <c r="J100" s="540" t="str">
        <f t="shared" si="42"/>
        <v>II юн</v>
      </c>
      <c r="K100" s="859"/>
      <c r="L100" s="146">
        <f t="shared" si="45"/>
        <v>231.20000000000002</v>
      </c>
      <c r="M100" s="540" t="str">
        <f t="shared" si="43"/>
        <v>II юн</v>
      </c>
      <c r="N100" s="540" t="str">
        <f t="shared" si="44"/>
        <v>II юн</v>
      </c>
      <c r="P100" s="753"/>
      <c r="Q100" s="753"/>
      <c r="R100" s="753"/>
      <c r="S100" s="753"/>
      <c r="T100" s="753"/>
      <c r="U100" s="753"/>
      <c r="V100" s="753"/>
      <c r="W100" s="753"/>
      <c r="X100" s="753"/>
      <c r="Y100" s="753"/>
      <c r="Z100" s="753"/>
      <c r="AA100" s="753"/>
      <c r="AB100" s="753"/>
      <c r="AC100" s="753"/>
      <c r="AD100" s="753"/>
      <c r="AE100" s="753"/>
      <c r="AF100" s="753"/>
      <c r="AG100" s="753"/>
      <c r="AH100" s="753"/>
    </row>
    <row r="101" spans="3:34">
      <c r="C101" s="762"/>
      <c r="D101" s="531"/>
      <c r="E101" s="586"/>
      <c r="F101" s="762"/>
      <c r="G101" s="762"/>
      <c r="H101" s="145">
        <v>242.4</v>
      </c>
      <c r="I101" s="540" t="str">
        <f>IF(ISBLANK(H101)," ",IF(ISTEXT(H101)," ",IF(H101&lt;=130.89,"МСМК",IF(H101&lt;=136.2,"МС",IF(H101&lt;=141.2,"КМС",IF(H101&lt;=147.7,"I",IF(H101&lt;=157.7,"II",IF(H101&lt;=206.4,"III",IF(H101&lt;=220.2,"I юн",IF(H101&lt;=231.4,"II юн",IF(H101&lt;=242.4,"III юн","б/р")))))))))))</f>
        <v>III юн</v>
      </c>
      <c r="J101" s="540" t="str">
        <f>IF(ISBLANK(H101)," ",IF(ISTEXT(H101)," ",IF(H101&lt;=130.89,"МСМК",IF(H101&lt;=136.2,"МС",IF(H101&lt;=141.2,"КМС",IF(H101&lt;=147.7,"I",IF(H101&lt;=157.7,"II",IF(H101&lt;=206.4,"III",IF(H101&lt;=220.2,"I юн",IF(H101&lt;=231.4,"II юн",IF(H101&lt;=242.4,"III юн","б/р")))))))))))</f>
        <v>III юн</v>
      </c>
      <c r="K101" s="859"/>
      <c r="L101" s="146">
        <f t="shared" si="45"/>
        <v>242.20000000000002</v>
      </c>
      <c r="M101" s="540" t="str">
        <f t="shared" si="43"/>
        <v>III юн</v>
      </c>
      <c r="N101" s="540" t="str">
        <f t="shared" si="44"/>
        <v>III юн</v>
      </c>
      <c r="P101" s="753"/>
      <c r="Q101" s="753"/>
      <c r="R101" s="753"/>
      <c r="S101" s="753"/>
      <c r="T101" s="753"/>
      <c r="U101" s="753"/>
      <c r="V101" s="753"/>
      <c r="W101" s="753"/>
      <c r="X101" s="753"/>
      <c r="Y101" s="753"/>
      <c r="Z101" s="753"/>
      <c r="AA101" s="753"/>
      <c r="AB101" s="753"/>
      <c r="AC101" s="753"/>
      <c r="AD101" s="753"/>
      <c r="AE101" s="753"/>
      <c r="AF101" s="753"/>
      <c r="AG101" s="753"/>
      <c r="AH101" s="753"/>
    </row>
    <row r="102" spans="3:34">
      <c r="C102" s="542"/>
      <c r="D102" s="542"/>
      <c r="E102" s="542"/>
      <c r="F102" s="542"/>
      <c r="G102" s="542"/>
      <c r="H102" s="145"/>
      <c r="I102" s="540" t="str">
        <f>IF(ISBLANK(H102)," ",IF(ISTEXT(H102)," ",IF(H102&lt;=132.9,"МСМК",IF(H102&lt;=137.5,"МС",IF(H102&lt;=142.2,"КМС",IF(H102&lt;=149.6,"I",IF(H102&lt;=158.9,"II",IF(H102&lt;=209.1,"III",IF(H102&lt;=221.2,"I юн",IF(H102&lt;=234.2,"II юн",IF(H102&lt;=247.2,"III юн","б/р")))))))))))</f>
        <v xml:space="preserve"> </v>
      </c>
      <c r="J102" s="540" t="str">
        <f>IF(ISBLANK(H102)," ",IF(ISTEXT(H102)," ",IF(H102&lt;=132.9,"МСМК",IF(H102&lt;=137.5,"МС",IF(H102&lt;=142.2,"КМС",IF(H102&lt;=149.6,"I",IF(H102&lt;=158.9,"II",IF(H102&lt;=209.1,"III",IF(H102&lt;=221.2,"I юн",IF(H102&lt;=234.2,"II юн",IF(H102&lt;=247.2,"III юн","б/р")))))))))))</f>
        <v xml:space="preserve"> </v>
      </c>
      <c r="K102" s="859"/>
      <c r="L102" s="541"/>
      <c r="M102" s="540" t="str">
        <f>IF(ISBLANK(L102)," ",IF(ISTEXT(L102)," ",IF(L102&lt;=132.9,"МСМК",IF(L102&lt;=137.5,"МС",IF(L102&lt;=142.2,"КМС",IF(L102&lt;=149.6,"I",IF(L102&lt;=158.9,"II",IF(L102&lt;=209.1,"III",IF(L102&lt;=221.2,"I юн",IF(L102&lt;=234.2,"II юн",IF(L102&lt;=247.2,"III юн","б/р")))))))))))</f>
        <v xml:space="preserve"> </v>
      </c>
      <c r="N102" s="531" t="str">
        <f>IF(ISBLANK(L102)," ",IF(ISTEXT(L102)," ",IF(L102&lt;=132.9,"МСМК",IF(L102&lt;=137.5,"МС",IF(L102&lt;=142.2,"КМС",IF(L102&lt;=149.6,"I",IF(L102&lt;=158.9,"II",IF(L102&lt;=209.1,"III",IF(L102&lt;=221.2,"I юн",IF(L102&lt;=234.2,"II юн",IF(L102&lt;=247.2,"III юн","б/р")))))))))))</f>
        <v xml:space="preserve"> </v>
      </c>
      <c r="P102" s="743"/>
      <c r="Q102" s="743"/>
      <c r="R102" s="743"/>
      <c r="S102" s="743"/>
      <c r="T102" s="743"/>
      <c r="U102" s="743"/>
      <c r="V102" s="743"/>
      <c r="W102" s="743"/>
      <c r="X102" s="743"/>
      <c r="Y102" s="743"/>
      <c r="Z102" s="743"/>
      <c r="AA102" s="743"/>
      <c r="AB102" s="742"/>
      <c r="AC102" s="742"/>
      <c r="AD102" s="742"/>
      <c r="AE102" s="742"/>
      <c r="AF102" s="742"/>
      <c r="AG102" s="742"/>
      <c r="AH102" s="753"/>
    </row>
    <row r="103" spans="3:34">
      <c r="C103" s="524" t="s">
        <v>129</v>
      </c>
      <c r="D103" s="525"/>
      <c r="E103" s="526"/>
      <c r="F103" s="524"/>
      <c r="G103" s="524"/>
      <c r="H103" s="145"/>
      <c r="I103" s="540"/>
      <c r="J103" s="540"/>
      <c r="K103" s="860"/>
      <c r="P103" s="742"/>
      <c r="Q103" s="742"/>
      <c r="R103" s="742"/>
      <c r="S103" s="742"/>
      <c r="T103" s="742"/>
      <c r="U103" s="742"/>
      <c r="V103" s="742"/>
      <c r="W103" s="742"/>
      <c r="X103" s="742"/>
      <c r="Y103" s="742"/>
      <c r="Z103" s="742"/>
      <c r="AA103" s="742"/>
      <c r="AB103" s="742"/>
      <c r="AC103" s="742"/>
      <c r="AD103" s="742"/>
      <c r="AE103" s="742"/>
      <c r="AF103" s="742"/>
      <c r="AG103" s="742"/>
      <c r="AH103" s="753"/>
    </row>
    <row r="104" spans="3:34">
      <c r="C104" s="762"/>
      <c r="D104" s="531"/>
      <c r="E104" s="586"/>
      <c r="F104" s="762"/>
      <c r="G104" s="762"/>
      <c r="H104" s="146">
        <v>123.2</v>
      </c>
      <c r="I104" s="540" t="str">
        <f t="shared" ref="I104:I111" si="46">IF(ISBLANK(H104)," ",IF(ISTEXT(H104)," ",IF(H104&lt;=123.2,"МСМК",IF(H104&lt;=127.4,"МС",IF(H104&lt;=131.7,"КМС",IF(H104&lt;=138.2,"I",IF(H104&lt;=147.2,"II",IF(H104&lt;=157.7,"III",IF(H104&lt;=207.7,"I юн",IF(H104&lt;=219.5,"II юн",IF(H104&lt;=231.2,"III юн","б/р")))))))))))</f>
        <v>МСМК</v>
      </c>
      <c r="J104" s="540" t="str">
        <f t="shared" ref="J104:J111" si="47">IF(ISBLANK(H104)," ",IF(ISTEXT(H104)," ",IF(H104&lt;=123.2,"МСМК",IF(H104&lt;=127.4,"МС",IF(H104&lt;=131.7,"КМС",IF(H104&lt;=138.2,"I",IF(H104&lt;=147.2,"II",IF(H104&lt;=157.7,"III",IF(H104&lt;=207.7,"I юн",IF(H104&lt;=219.5,"II юн",IF(H104&lt;=231.2,"III юн","б/р")))))))))))</f>
        <v>МСМК</v>
      </c>
      <c r="K104" s="859"/>
      <c r="L104" s="748">
        <f>H104</f>
        <v>123.2</v>
      </c>
      <c r="M104" s="747" t="str">
        <f>IF(ISBLANK(L104)," ",IF(ISTEXT(L104)," ",IF(L104&lt;=123.2,"МСМК",IF(L104&lt;=127.4,"МС",IF(L104&lt;=131.5,"КМС",IF(L104&lt;=138,"I",IF(L104&lt;=147,"II",IF(L104&lt;=155.5,"III",IF(L104&lt;=207.5,"I юн",IF(L104&lt;=219.3,"II юн",IF(L104&lt;=231,"III юн","б/р")))))))))))</f>
        <v>МСМК</v>
      </c>
      <c r="N104" s="747" t="str">
        <f>IF(ISBLANK(L104)," ",IF(ISTEXT(L104)," ",IF(L104&lt;=123.2,"МСМК",IF(L104&lt;=127.4,"МС",IF(L104&lt;=131.5,"КМС",IF(L104&lt;=138,"I",IF(L104&lt;=147,"II",IF(L104&lt;=155.5,"III",IF(L104&lt;=207.5,"I юн",IF(L104&lt;=219.3,"II юн",IF(L104&lt;=231,"III юн","б/р")))))))))))</f>
        <v>МСМК</v>
      </c>
      <c r="P104" s="753"/>
      <c r="Q104" s="753"/>
      <c r="R104" s="753"/>
      <c r="S104" s="753"/>
      <c r="T104" s="753"/>
      <c r="U104" s="753"/>
      <c r="V104" s="753"/>
      <c r="W104" s="753"/>
      <c r="X104" s="753"/>
      <c r="Y104" s="753"/>
      <c r="Z104" s="753"/>
      <c r="AA104" s="753"/>
      <c r="AB104" s="753"/>
      <c r="AC104" s="753"/>
      <c r="AD104" s="753"/>
      <c r="AE104" s="753"/>
      <c r="AF104" s="753"/>
      <c r="AG104" s="753"/>
      <c r="AH104" s="753"/>
    </row>
    <row r="105" spans="3:34">
      <c r="C105" s="762"/>
      <c r="D105" s="531"/>
      <c r="E105" s="586"/>
      <c r="F105" s="762"/>
      <c r="G105" s="762"/>
      <c r="H105" s="146">
        <v>127.4</v>
      </c>
      <c r="I105" s="540" t="str">
        <f t="shared" si="46"/>
        <v>МС</v>
      </c>
      <c r="J105" s="540" t="str">
        <f t="shared" si="47"/>
        <v>МС</v>
      </c>
      <c r="K105" s="859"/>
      <c r="L105" s="748">
        <f>H105</f>
        <v>127.4</v>
      </c>
      <c r="M105" s="747" t="str">
        <f t="shared" ref="M105:M112" si="48">IF(ISBLANK(L105)," ",IF(ISTEXT(L105)," ",IF(L105&lt;=123.2,"МСМК",IF(L105&lt;=127.4,"МС",IF(L105&lt;=131.5,"КМС",IF(L105&lt;=138,"I",IF(L105&lt;=147,"II",IF(L105&lt;=155.5,"III",IF(L105&lt;=207.5,"I юн",IF(L105&lt;=219.3,"II юн",IF(L105&lt;=231,"III юн","б/р")))))))))))</f>
        <v>МС</v>
      </c>
      <c r="N105" s="747" t="str">
        <f t="shared" ref="N105:N112" si="49">IF(ISBLANK(L105)," ",IF(ISTEXT(L105)," ",IF(L105&lt;=123.2,"МСМК",IF(L105&lt;=127.4,"МС",IF(L105&lt;=131.5,"КМС",IF(L105&lt;=138,"I",IF(L105&lt;=147,"II",IF(L105&lt;=155.5,"III",IF(L105&lt;=207.5,"I юн",IF(L105&lt;=219.3,"II юн",IF(L105&lt;=231,"III юн","б/р")))))))))))</f>
        <v>МС</v>
      </c>
      <c r="P105" s="753"/>
      <c r="Q105" s="753"/>
      <c r="R105" s="753"/>
      <c r="S105" s="753"/>
      <c r="T105" s="753"/>
      <c r="U105" s="753"/>
      <c r="V105" s="753"/>
      <c r="W105" s="753"/>
      <c r="X105" s="753"/>
      <c r="Y105" s="753"/>
      <c r="Z105" s="753"/>
      <c r="AA105" s="753"/>
      <c r="AB105" s="753"/>
      <c r="AC105" s="753"/>
      <c r="AD105" s="753"/>
      <c r="AE105" s="753"/>
      <c r="AF105" s="753"/>
      <c r="AG105" s="753"/>
      <c r="AH105" s="753"/>
    </row>
    <row r="106" spans="3:34">
      <c r="C106" s="762"/>
      <c r="D106" s="531"/>
      <c r="E106" s="586"/>
      <c r="F106" s="762"/>
      <c r="G106" s="762"/>
      <c r="H106" s="146">
        <v>131.69999999999999</v>
      </c>
      <c r="I106" s="540" t="str">
        <f t="shared" si="46"/>
        <v>КМС</v>
      </c>
      <c r="J106" s="540" t="str">
        <f t="shared" si="47"/>
        <v>КМС</v>
      </c>
      <c r="K106" s="859"/>
      <c r="L106" s="146">
        <f>H106-0.2</f>
        <v>131.5</v>
      </c>
      <c r="M106" s="540" t="str">
        <f t="shared" si="48"/>
        <v>КМС</v>
      </c>
      <c r="N106" s="540" t="str">
        <f t="shared" si="49"/>
        <v>КМС</v>
      </c>
      <c r="P106" s="753"/>
      <c r="Q106" s="753"/>
      <c r="R106" s="753"/>
      <c r="S106" s="753"/>
      <c r="T106" s="753"/>
      <c r="U106" s="753"/>
      <c r="V106" s="753"/>
      <c r="W106" s="753"/>
      <c r="X106" s="753"/>
      <c r="Y106" s="753"/>
      <c r="Z106" s="753"/>
      <c r="AA106" s="753"/>
      <c r="AB106" s="753"/>
      <c r="AC106" s="753"/>
      <c r="AD106" s="753"/>
      <c r="AE106" s="753"/>
      <c r="AF106" s="753"/>
      <c r="AG106" s="753"/>
      <c r="AH106" s="753"/>
    </row>
    <row r="107" spans="3:34">
      <c r="C107" s="762"/>
      <c r="D107" s="531"/>
      <c r="E107" s="586"/>
      <c r="F107" s="762"/>
      <c r="G107" s="762"/>
      <c r="H107" s="146">
        <v>138.19999999999999</v>
      </c>
      <c r="I107" s="540" t="str">
        <f t="shared" si="46"/>
        <v>I</v>
      </c>
      <c r="J107" s="540" t="str">
        <f t="shared" si="47"/>
        <v>I</v>
      </c>
      <c r="K107" s="859"/>
      <c r="L107" s="146">
        <f t="shared" ref="L107:L112" si="50">H107-0.2</f>
        <v>138</v>
      </c>
      <c r="M107" s="540" t="str">
        <f t="shared" si="48"/>
        <v>I</v>
      </c>
      <c r="N107" s="540" t="str">
        <f t="shared" si="49"/>
        <v>I</v>
      </c>
      <c r="P107" s="753"/>
      <c r="Q107" s="753"/>
      <c r="R107" s="753"/>
      <c r="S107" s="753"/>
      <c r="T107" s="753"/>
      <c r="U107" s="753"/>
      <c r="V107" s="753"/>
      <c r="W107" s="753"/>
      <c r="X107" s="753"/>
      <c r="Y107" s="753"/>
      <c r="Z107" s="753"/>
      <c r="AA107" s="753"/>
      <c r="AB107" s="753"/>
      <c r="AC107" s="753"/>
      <c r="AD107" s="753"/>
      <c r="AE107" s="753"/>
      <c r="AF107" s="753"/>
      <c r="AG107" s="753"/>
      <c r="AH107" s="753"/>
    </row>
    <row r="108" spans="3:34">
      <c r="C108" s="762"/>
      <c r="D108" s="531"/>
      <c r="E108" s="586"/>
      <c r="F108" s="762"/>
      <c r="G108" s="762"/>
      <c r="H108" s="146">
        <v>147.19999999999999</v>
      </c>
      <c r="I108" s="540" t="str">
        <f t="shared" si="46"/>
        <v>II</v>
      </c>
      <c r="J108" s="540" t="str">
        <f t="shared" si="47"/>
        <v>II</v>
      </c>
      <c r="K108" s="859"/>
      <c r="L108" s="146">
        <f t="shared" si="50"/>
        <v>147</v>
      </c>
      <c r="M108" s="540" t="str">
        <f t="shared" si="48"/>
        <v>II</v>
      </c>
      <c r="N108" s="540" t="str">
        <f t="shared" si="49"/>
        <v>II</v>
      </c>
      <c r="P108" s="753"/>
      <c r="Q108" s="753"/>
      <c r="R108" s="753"/>
      <c r="S108" s="753"/>
      <c r="T108" s="753"/>
      <c r="U108" s="753"/>
      <c r="V108" s="753"/>
      <c r="W108" s="753"/>
      <c r="X108" s="753"/>
      <c r="Y108" s="753"/>
      <c r="Z108" s="753"/>
      <c r="AA108" s="753"/>
      <c r="AB108" s="753"/>
      <c r="AC108" s="753"/>
      <c r="AD108" s="753"/>
      <c r="AE108" s="753"/>
      <c r="AF108" s="753"/>
      <c r="AG108" s="753"/>
      <c r="AH108" s="753"/>
    </row>
    <row r="109" spans="3:34">
      <c r="C109" s="762"/>
      <c r="D109" s="531"/>
      <c r="E109" s="586"/>
      <c r="F109" s="762"/>
      <c r="G109" s="762"/>
      <c r="H109" s="146">
        <v>155.69999999999999</v>
      </c>
      <c r="I109" s="540" t="str">
        <f t="shared" si="46"/>
        <v>III</v>
      </c>
      <c r="J109" s="540" t="str">
        <f t="shared" si="47"/>
        <v>III</v>
      </c>
      <c r="K109" s="859"/>
      <c r="L109" s="146">
        <f t="shared" si="50"/>
        <v>155.5</v>
      </c>
      <c r="M109" s="540" t="str">
        <f t="shared" si="48"/>
        <v>III</v>
      </c>
      <c r="N109" s="540" t="str">
        <f t="shared" si="49"/>
        <v>III</v>
      </c>
      <c r="P109" s="753"/>
      <c r="Q109" s="753"/>
      <c r="R109" s="753"/>
      <c r="S109" s="753"/>
      <c r="T109" s="753"/>
      <c r="U109" s="753"/>
      <c r="V109" s="753"/>
      <c r="W109" s="753"/>
      <c r="X109" s="753"/>
      <c r="Y109" s="753"/>
      <c r="Z109" s="753"/>
      <c r="AA109" s="753"/>
      <c r="AB109" s="753"/>
      <c r="AC109" s="753"/>
      <c r="AD109" s="753"/>
      <c r="AE109" s="753"/>
      <c r="AF109" s="753"/>
      <c r="AG109" s="753"/>
      <c r="AH109" s="753"/>
    </row>
    <row r="110" spans="3:34">
      <c r="C110" s="762"/>
      <c r="D110" s="531"/>
      <c r="E110" s="586"/>
      <c r="F110" s="762"/>
      <c r="G110" s="762"/>
      <c r="H110" s="145">
        <v>207.7</v>
      </c>
      <c r="I110" s="540" t="str">
        <f t="shared" si="46"/>
        <v>I юн</v>
      </c>
      <c r="J110" s="540" t="str">
        <f t="shared" si="47"/>
        <v>I юн</v>
      </c>
      <c r="K110" s="859"/>
      <c r="L110" s="146">
        <f t="shared" si="50"/>
        <v>207.5</v>
      </c>
      <c r="M110" s="540" t="str">
        <f t="shared" si="48"/>
        <v>I юн</v>
      </c>
      <c r="N110" s="540" t="str">
        <f t="shared" si="49"/>
        <v>I юн</v>
      </c>
      <c r="P110" s="753"/>
      <c r="Q110" s="753"/>
      <c r="R110" s="753"/>
      <c r="S110" s="753"/>
      <c r="T110" s="753"/>
      <c r="U110" s="753"/>
      <c r="V110" s="753"/>
      <c r="W110" s="753"/>
      <c r="X110" s="753"/>
      <c r="Y110" s="753"/>
      <c r="Z110" s="753"/>
      <c r="AA110" s="753"/>
      <c r="AB110" s="753"/>
      <c r="AC110" s="753"/>
      <c r="AD110" s="753"/>
      <c r="AE110" s="753"/>
      <c r="AF110" s="753"/>
      <c r="AG110" s="753"/>
      <c r="AH110" s="753"/>
    </row>
    <row r="111" spans="3:34">
      <c r="C111" s="762"/>
      <c r="D111" s="531"/>
      <c r="E111" s="586"/>
      <c r="F111" s="762"/>
      <c r="G111" s="762"/>
      <c r="H111" s="145">
        <v>219.5</v>
      </c>
      <c r="I111" s="540" t="str">
        <f t="shared" si="46"/>
        <v>II юн</v>
      </c>
      <c r="J111" s="540" t="str">
        <f t="shared" si="47"/>
        <v>II юн</v>
      </c>
      <c r="K111" s="859"/>
      <c r="L111" s="146">
        <f t="shared" si="50"/>
        <v>219.3</v>
      </c>
      <c r="M111" s="540" t="str">
        <f t="shared" si="48"/>
        <v>II юн</v>
      </c>
      <c r="N111" s="540" t="str">
        <f t="shared" si="49"/>
        <v>II юн</v>
      </c>
      <c r="P111" s="753"/>
      <c r="Q111" s="753"/>
      <c r="R111" s="753"/>
      <c r="S111" s="753"/>
      <c r="T111" s="753"/>
      <c r="U111" s="753"/>
      <c r="V111" s="753"/>
      <c r="W111" s="753"/>
      <c r="X111" s="753"/>
      <c r="Y111" s="753"/>
      <c r="Z111" s="753"/>
      <c r="AA111" s="753"/>
      <c r="AB111" s="753"/>
      <c r="AC111" s="753"/>
      <c r="AD111" s="753"/>
      <c r="AE111" s="753"/>
      <c r="AF111" s="753"/>
      <c r="AG111" s="753"/>
      <c r="AH111" s="753"/>
    </row>
    <row r="112" spans="3:34">
      <c r="C112" s="762"/>
      <c r="D112" s="531"/>
      <c r="E112" s="586"/>
      <c r="F112" s="762"/>
      <c r="G112" s="762"/>
      <c r="H112" s="145">
        <v>231.2</v>
      </c>
      <c r="I112" s="540" t="str">
        <f>IF(ISBLANK(H112)," ",IF(ISTEXT(H112)," ",IF(H112&lt;=123.2,"МСМК",IF(H112&lt;=127.4,"МС",IF(H112&lt;=131.7,"КМС",IF(H112&lt;=138.2,"I",IF(H112&lt;=147.2,"II",IF(H112&lt;=157.7,"III",IF(H112&lt;=207.7,"I юн",IF(H112&lt;=219.5,"II юн",IF(H112&lt;=231.2,"III юн","б/р")))))))))))</f>
        <v>III юн</v>
      </c>
      <c r="J112" s="540" t="str">
        <f>IF(ISBLANK(H112)," ",IF(ISTEXT(H112)," ",IF(H112&lt;=123.2,"МСМК",IF(H112&lt;=127.4,"МС",IF(H112&lt;=131.7,"КМС",IF(H112&lt;=138.2,"I",IF(H112&lt;=147.2,"II",IF(H112&lt;=157.7,"III",IF(H112&lt;=207.7,"I юн",IF(H112&lt;=219.5,"II юн",IF(H112&lt;=231.2,"III юн","б/р")))))))))))</f>
        <v>III юн</v>
      </c>
      <c r="K112" s="859"/>
      <c r="L112" s="146">
        <f t="shared" si="50"/>
        <v>231</v>
      </c>
      <c r="M112" s="540" t="str">
        <f t="shared" si="48"/>
        <v>III юн</v>
      </c>
      <c r="N112" s="540" t="str">
        <f t="shared" si="49"/>
        <v>III юн</v>
      </c>
      <c r="P112" s="753"/>
      <c r="Q112" s="753"/>
      <c r="R112" s="753"/>
      <c r="S112" s="753"/>
      <c r="T112" s="753"/>
      <c r="U112" s="753"/>
      <c r="V112" s="753"/>
      <c r="W112" s="753"/>
      <c r="X112" s="753"/>
      <c r="Y112" s="753"/>
      <c r="Z112" s="753"/>
      <c r="AA112" s="753"/>
      <c r="AB112" s="753"/>
      <c r="AC112" s="753"/>
      <c r="AD112" s="753"/>
      <c r="AE112" s="753"/>
      <c r="AF112" s="753"/>
      <c r="AG112" s="753"/>
      <c r="AH112" s="753"/>
    </row>
    <row r="113" spans="3:34">
      <c r="C113" s="1064"/>
      <c r="D113" s="531"/>
      <c r="E113" s="586"/>
      <c r="F113" s="1064"/>
      <c r="G113" s="1064"/>
      <c r="H113" s="145"/>
      <c r="I113" s="540"/>
      <c r="J113" s="540"/>
      <c r="K113" s="859"/>
      <c r="L113" s="146"/>
      <c r="M113" s="540"/>
      <c r="N113" s="540"/>
      <c r="P113" s="753"/>
      <c r="Q113" s="753"/>
      <c r="R113" s="753"/>
      <c r="S113" s="753"/>
      <c r="T113" s="753"/>
      <c r="U113" s="753"/>
      <c r="V113" s="753"/>
      <c r="W113" s="753"/>
      <c r="X113" s="753"/>
      <c r="Y113" s="753"/>
      <c r="Z113" s="753"/>
      <c r="AA113" s="753"/>
      <c r="AB113" s="753"/>
      <c r="AC113" s="753"/>
      <c r="AD113" s="753"/>
      <c r="AE113" s="753"/>
      <c r="AF113" s="753"/>
      <c r="AG113" s="753"/>
      <c r="AH113" s="753"/>
    </row>
    <row r="114" spans="3:34">
      <c r="C114" s="524" t="s">
        <v>149</v>
      </c>
      <c r="D114" s="542"/>
      <c r="E114" s="542"/>
      <c r="F114" s="542"/>
      <c r="G114" s="542"/>
      <c r="H114" s="541"/>
      <c r="I114" s="541"/>
      <c r="J114" s="542"/>
      <c r="K114" s="860"/>
      <c r="P114" s="753"/>
      <c r="Q114" s="753"/>
      <c r="R114" s="753"/>
      <c r="S114" s="753"/>
      <c r="T114" s="753"/>
      <c r="U114" s="753"/>
      <c r="V114" s="753"/>
      <c r="W114" s="753"/>
      <c r="X114" s="753"/>
      <c r="Y114" s="753"/>
      <c r="Z114" s="753"/>
      <c r="AA114" s="753"/>
      <c r="AB114" s="753"/>
      <c r="AC114" s="753"/>
      <c r="AD114" s="753"/>
      <c r="AE114" s="753"/>
      <c r="AF114" s="753"/>
      <c r="AG114" s="753"/>
      <c r="AH114" s="753"/>
    </row>
    <row r="115" spans="3:34">
      <c r="C115" s="542"/>
      <c r="D115" s="542"/>
      <c r="E115" s="542"/>
      <c r="F115" s="542"/>
      <c r="G115" s="542"/>
      <c r="H115" s="532">
        <v>147.5</v>
      </c>
      <c r="I115" s="540" t="str">
        <f t="shared" ref="I115:I122" si="51">IF(ISBLANK(H115)," ",IF(ISTEXT(H115)," ",IF(H115&lt;=147.5,"МСМК",IF(H115&lt;=152.6,"МС",IF(H115&lt;=157.8,"КМС",IF(H115&lt;=207.5,"I",IF(H115&lt;=216.5,"II",IF(H115&lt;=228.2,"III",IF(H115&lt;=244.2,"I юн",IF(H115&lt;=258.7,"II юн",IF(H115&lt;=312.2,"III юн","б/р")))))))))))</f>
        <v>МСМК</v>
      </c>
      <c r="J115" s="540" t="str">
        <f t="shared" ref="J115:J122" si="52">IF(ISBLANK(H115)," ",IF(ISTEXT(H115)," ",IF(H115&lt;=147.5,"МСМК",IF(H115&lt;=152.6,"МС",IF(H115&lt;=157.8,"КМС",IF(H115&lt;=207.5,"I",IF(H115&lt;=216.5,"II",IF(H115&lt;=228.2,"III",IF(H115&lt;=244.2,"I юн",IF(H115&lt;=258.7,"II юн",IF(H115&lt;=312.2,"III юн","б/р")))))))))))</f>
        <v>МСМК</v>
      </c>
      <c r="K115" s="859"/>
      <c r="L115" s="749">
        <f>H115</f>
        <v>147.5</v>
      </c>
      <c r="M115" s="747" t="str">
        <f t="shared" ref="M115:M122" si="53">IF(ISBLANK(L115)," ",IF(ISTEXT(L115)," ",IF(L115&lt;=147.5,"МСМК",IF(L115&lt;=152.6,"МС",IF(L115&lt;=157.6,"КМС",IF(L115&lt;=207.3,"I",IF(L115&lt;=216.3,"II",IF(L115&lt;=228,"III",IF(L115&lt;=244,"I юн",IF(L115&lt;=258.5,"II юн",IF(L115&lt;=312,"III юн","б/р")))))))))))</f>
        <v>МСМК</v>
      </c>
      <c r="N115" s="747" t="str">
        <f t="shared" ref="N115:N122" si="54">IF(ISBLANK(L115)," ",IF(ISTEXT(L115)," ",IF(L115&lt;=147.5,"МСМК",IF(L115&lt;=152.6,"МС",IF(L115&lt;=157.6,"КМС",IF(L115&lt;=207.3,"I",IF(L115&lt;=216.3,"II",IF(L115&lt;=228,"III",IF(L115&lt;=244,"I юн",IF(L115&lt;=258.5,"II юн",IF(L115&lt;=312,"III юн","б/р")))))))))))</f>
        <v>МСМК</v>
      </c>
      <c r="O115" s="540"/>
      <c r="P115" s="753"/>
      <c r="Q115" s="753"/>
      <c r="R115" s="753"/>
      <c r="S115" s="753"/>
      <c r="T115" s="753"/>
      <c r="U115" s="753"/>
      <c r="V115" s="753"/>
      <c r="W115" s="753"/>
      <c r="X115" s="753"/>
      <c r="Y115" s="753"/>
      <c r="Z115" s="753"/>
      <c r="AA115" s="753"/>
      <c r="AB115" s="753"/>
      <c r="AC115" s="753"/>
      <c r="AD115" s="753"/>
      <c r="AE115" s="753"/>
      <c r="AF115" s="753"/>
      <c r="AG115" s="753"/>
      <c r="AH115" s="753"/>
    </row>
    <row r="116" spans="3:34">
      <c r="C116" s="542"/>
      <c r="D116" s="542"/>
      <c r="E116" s="542"/>
      <c r="F116" s="542"/>
      <c r="G116" s="542"/>
      <c r="H116" s="532">
        <v>152.6</v>
      </c>
      <c r="I116" s="540" t="str">
        <f t="shared" si="51"/>
        <v>МС</v>
      </c>
      <c r="J116" s="540" t="str">
        <f t="shared" si="52"/>
        <v>МС</v>
      </c>
      <c r="K116" s="859"/>
      <c r="L116" s="749">
        <f>H116</f>
        <v>152.6</v>
      </c>
      <c r="M116" s="747" t="str">
        <f t="shared" si="53"/>
        <v>МС</v>
      </c>
      <c r="N116" s="747" t="str">
        <f t="shared" si="54"/>
        <v>МС</v>
      </c>
      <c r="O116" s="540"/>
      <c r="P116" s="753"/>
      <c r="Q116" s="753"/>
      <c r="R116" s="753"/>
      <c r="S116" s="753"/>
      <c r="T116" s="753"/>
      <c r="U116" s="753"/>
      <c r="V116" s="753"/>
      <c r="W116" s="753"/>
      <c r="X116" s="753"/>
      <c r="Y116" s="753"/>
      <c r="Z116" s="753"/>
      <c r="AA116" s="753"/>
      <c r="AB116" s="753"/>
      <c r="AC116" s="753"/>
      <c r="AD116" s="753"/>
      <c r="AE116" s="753"/>
      <c r="AF116" s="753"/>
      <c r="AG116" s="753"/>
      <c r="AH116" s="753"/>
    </row>
    <row r="117" spans="3:34">
      <c r="C117" s="542"/>
      <c r="D117" s="542"/>
      <c r="E117" s="542"/>
      <c r="F117" s="542"/>
      <c r="G117" s="542"/>
      <c r="H117" s="532">
        <v>157.80000000000001</v>
      </c>
      <c r="I117" s="540" t="str">
        <f t="shared" si="51"/>
        <v>КМС</v>
      </c>
      <c r="J117" s="540" t="str">
        <f t="shared" si="52"/>
        <v>КМС</v>
      </c>
      <c r="K117" s="859"/>
      <c r="L117" s="532">
        <f>H117-0.2</f>
        <v>157.60000000000002</v>
      </c>
      <c r="M117" s="540" t="str">
        <f t="shared" si="53"/>
        <v>КМС</v>
      </c>
      <c r="N117" s="540" t="str">
        <f t="shared" si="54"/>
        <v>КМС</v>
      </c>
      <c r="O117" s="540"/>
      <c r="P117" s="753"/>
      <c r="Q117" s="753"/>
      <c r="R117" s="753"/>
      <c r="S117" s="753"/>
      <c r="T117" s="753"/>
      <c r="U117" s="753"/>
      <c r="V117" s="753"/>
      <c r="W117" s="753"/>
      <c r="X117" s="753"/>
      <c r="Y117" s="753"/>
      <c r="Z117" s="753"/>
      <c r="AA117" s="753"/>
      <c r="AB117" s="753"/>
      <c r="AC117" s="753"/>
      <c r="AD117" s="753"/>
      <c r="AE117" s="753"/>
      <c r="AF117" s="753"/>
      <c r="AG117" s="753"/>
      <c r="AH117" s="753"/>
    </row>
    <row r="118" spans="3:34">
      <c r="C118" s="542"/>
      <c r="D118" s="542"/>
      <c r="E118" s="542"/>
      <c r="F118" s="542"/>
      <c r="G118" s="542"/>
      <c r="H118" s="532">
        <v>207.5</v>
      </c>
      <c r="I118" s="540" t="str">
        <f t="shared" si="51"/>
        <v>I</v>
      </c>
      <c r="J118" s="540" t="str">
        <f t="shared" si="52"/>
        <v>I</v>
      </c>
      <c r="K118" s="859"/>
      <c r="L118" s="532">
        <f t="shared" ref="L118:L123" si="55">H118-0.2</f>
        <v>207.3</v>
      </c>
      <c r="M118" s="540" t="str">
        <f t="shared" si="53"/>
        <v>I</v>
      </c>
      <c r="N118" s="540" t="str">
        <f t="shared" si="54"/>
        <v>I</v>
      </c>
      <c r="O118" s="540"/>
      <c r="P118" s="753"/>
      <c r="Q118" s="753"/>
      <c r="R118" s="753"/>
      <c r="S118" s="753"/>
      <c r="T118" s="753"/>
      <c r="U118" s="753"/>
      <c r="V118" s="753"/>
      <c r="W118" s="753"/>
      <c r="X118" s="753"/>
      <c r="Y118" s="753"/>
      <c r="Z118" s="753"/>
      <c r="AA118" s="753"/>
      <c r="AB118" s="753"/>
      <c r="AC118" s="753"/>
      <c r="AD118" s="753"/>
      <c r="AE118" s="753"/>
      <c r="AF118" s="753"/>
      <c r="AG118" s="753"/>
      <c r="AH118" s="753"/>
    </row>
    <row r="119" spans="3:34">
      <c r="C119" s="542"/>
      <c r="D119" s="542"/>
      <c r="E119" s="542"/>
      <c r="F119" s="542"/>
      <c r="G119" s="542"/>
      <c r="H119" s="532">
        <v>216.5</v>
      </c>
      <c r="I119" s="540" t="str">
        <f t="shared" si="51"/>
        <v>II</v>
      </c>
      <c r="J119" s="540" t="str">
        <f t="shared" si="52"/>
        <v>II</v>
      </c>
      <c r="K119" s="859"/>
      <c r="L119" s="532">
        <f t="shared" si="55"/>
        <v>216.3</v>
      </c>
      <c r="M119" s="540" t="str">
        <f t="shared" si="53"/>
        <v>II</v>
      </c>
      <c r="N119" s="540" t="str">
        <f t="shared" si="54"/>
        <v>II</v>
      </c>
      <c r="O119" s="540"/>
      <c r="P119" s="753"/>
      <c r="Q119" s="753"/>
      <c r="R119" s="753"/>
      <c r="S119" s="753"/>
      <c r="T119" s="753"/>
      <c r="U119" s="753"/>
      <c r="V119" s="753"/>
      <c r="W119" s="753"/>
      <c r="X119" s="753"/>
      <c r="Y119" s="753"/>
      <c r="Z119" s="753"/>
      <c r="AA119" s="753"/>
      <c r="AB119" s="753"/>
      <c r="AC119" s="753"/>
      <c r="AD119" s="753"/>
      <c r="AE119" s="753"/>
      <c r="AF119" s="753"/>
      <c r="AG119" s="753"/>
      <c r="AH119" s="753"/>
    </row>
    <row r="120" spans="3:34">
      <c r="C120" s="542"/>
      <c r="D120" s="542"/>
      <c r="E120" s="542"/>
      <c r="F120" s="542"/>
      <c r="G120" s="542"/>
      <c r="H120" s="532">
        <v>228.2</v>
      </c>
      <c r="I120" s="540" t="str">
        <f t="shared" si="51"/>
        <v>III</v>
      </c>
      <c r="J120" s="540" t="str">
        <f t="shared" si="52"/>
        <v>III</v>
      </c>
      <c r="K120" s="859"/>
      <c r="L120" s="532">
        <f t="shared" si="55"/>
        <v>228</v>
      </c>
      <c r="M120" s="540" t="str">
        <f t="shared" si="53"/>
        <v>III</v>
      </c>
      <c r="N120" s="540" t="str">
        <f t="shared" si="54"/>
        <v>III</v>
      </c>
      <c r="O120" s="540"/>
      <c r="P120" s="753"/>
      <c r="Q120" s="753"/>
      <c r="R120" s="753"/>
      <c r="S120" s="753"/>
      <c r="T120" s="753"/>
      <c r="U120" s="753"/>
      <c r="V120" s="753"/>
      <c r="W120" s="753"/>
      <c r="X120" s="753"/>
      <c r="Y120" s="753"/>
      <c r="Z120" s="753"/>
      <c r="AA120" s="753"/>
      <c r="AB120" s="753"/>
      <c r="AC120" s="753"/>
      <c r="AD120" s="753"/>
      <c r="AE120" s="753"/>
      <c r="AF120" s="753"/>
      <c r="AG120" s="753"/>
      <c r="AH120" s="753"/>
    </row>
    <row r="121" spans="3:34">
      <c r="C121" s="542"/>
      <c r="D121" s="542"/>
      <c r="E121" s="542"/>
      <c r="F121" s="542"/>
      <c r="G121" s="542"/>
      <c r="H121" s="145">
        <v>244.2</v>
      </c>
      <c r="I121" s="540" t="str">
        <f t="shared" si="51"/>
        <v>I юн</v>
      </c>
      <c r="J121" s="540" t="str">
        <f t="shared" si="52"/>
        <v>I юн</v>
      </c>
      <c r="K121" s="859"/>
      <c r="L121" s="532">
        <f t="shared" si="55"/>
        <v>244</v>
      </c>
      <c r="M121" s="540" t="str">
        <f t="shared" si="53"/>
        <v>I юн</v>
      </c>
      <c r="N121" s="540" t="str">
        <f t="shared" si="54"/>
        <v>I юн</v>
      </c>
      <c r="O121" s="540"/>
      <c r="P121" s="753"/>
      <c r="Q121" s="753"/>
      <c r="R121" s="753"/>
      <c r="S121" s="753"/>
      <c r="T121" s="753"/>
      <c r="U121" s="753"/>
      <c r="V121" s="753"/>
      <c r="W121" s="753"/>
      <c r="X121" s="753"/>
      <c r="Y121" s="753"/>
      <c r="Z121" s="753"/>
      <c r="AA121" s="753"/>
      <c r="AB121" s="753"/>
      <c r="AC121" s="753"/>
      <c r="AD121" s="753"/>
      <c r="AE121" s="753"/>
      <c r="AF121" s="753"/>
      <c r="AG121" s="753"/>
      <c r="AH121" s="753"/>
    </row>
    <row r="122" spans="3:34">
      <c r="C122" s="542"/>
      <c r="D122" s="542"/>
      <c r="E122" s="542"/>
      <c r="F122" s="542"/>
      <c r="G122" s="542"/>
      <c r="H122" s="145">
        <v>258.7</v>
      </c>
      <c r="I122" s="540" t="str">
        <f t="shared" si="51"/>
        <v>II юн</v>
      </c>
      <c r="J122" s="540" t="str">
        <f t="shared" si="52"/>
        <v>II юн</v>
      </c>
      <c r="K122" s="859"/>
      <c r="L122" s="532">
        <f t="shared" si="55"/>
        <v>258.5</v>
      </c>
      <c r="M122" s="540" t="str">
        <f t="shared" si="53"/>
        <v>II юн</v>
      </c>
      <c r="N122" s="540" t="str">
        <f t="shared" si="54"/>
        <v>II юн</v>
      </c>
      <c r="O122" s="540"/>
      <c r="P122" s="753"/>
      <c r="Q122" s="753"/>
      <c r="R122" s="753"/>
      <c r="S122" s="753"/>
      <c r="T122" s="753"/>
      <c r="U122" s="753"/>
      <c r="V122" s="753"/>
      <c r="W122" s="753"/>
      <c r="X122" s="753"/>
      <c r="Y122" s="753"/>
      <c r="Z122" s="753"/>
      <c r="AA122" s="753"/>
      <c r="AB122" s="753"/>
      <c r="AC122" s="753"/>
      <c r="AD122" s="753"/>
      <c r="AE122" s="753"/>
      <c r="AF122" s="753"/>
      <c r="AG122" s="753"/>
      <c r="AH122" s="753"/>
    </row>
    <row r="123" spans="3:34">
      <c r="C123" s="542"/>
      <c r="D123" s="542"/>
      <c r="E123" s="542"/>
      <c r="F123" s="542"/>
      <c r="G123" s="542"/>
      <c r="H123" s="145">
        <v>312.2</v>
      </c>
      <c r="I123" s="540" t="str">
        <f>IF(ISBLANK(H123)," ",IF(ISTEXT(H123)," ",IF(H123&lt;=147.5,"МСМК",IF(H123&lt;=152.6,"МС",IF(H123&lt;=157.8,"КМС",IF(H123&lt;=207.5,"I",IF(H123&lt;=216.5,"II",IF(H123&lt;=228.2,"III",IF(H123&lt;=244.2,"I юн",IF(H123&lt;=258.7,"II юн",IF(H123&lt;=312.2,"III юн","б/р")))))))))))</f>
        <v>III юн</v>
      </c>
      <c r="J123" s="540" t="str">
        <f>IF(ISBLANK(H123)," ",IF(ISTEXT(H123)," ",IF(H123&lt;=147.5,"МСМК",IF(H123&lt;=152.6,"МС",IF(H123&lt;=157.8,"КМС",IF(H123&lt;=207.5,"I",IF(H123&lt;=216.5,"II",IF(H123&lt;=228.2,"III",IF(H123&lt;=244.2,"I юн",IF(H123&lt;=258.7,"II юн",IF(H123&lt;=312.2,"III юн","б/р")))))))))))</f>
        <v>III юн</v>
      </c>
      <c r="K123" s="859"/>
      <c r="L123" s="532">
        <f t="shared" si="55"/>
        <v>312</v>
      </c>
      <c r="M123" s="540" t="str">
        <f>IF(ISBLANK(L123)," ",IF(ISTEXT(L123)," ",IF(L123&lt;=147.5,"МСМК",IF(L123&lt;=152.6,"МС",IF(L123&lt;=157.6,"КМС",IF(L123&lt;=207.3,"I",IF(L123&lt;=216.3,"II",IF(L123&lt;=228,"III",IF(L123&lt;=244,"I юн",IF(L123&lt;=258.5,"II юн",IF(L123&lt;=312,"III юн","б/р")))))))))))</f>
        <v>III юн</v>
      </c>
      <c r="N123" s="540" t="str">
        <f>IF(ISBLANK(L123)," ",IF(ISTEXT(L123)," ",IF(L123&lt;=147.5,"МСМК",IF(L123&lt;=152.6,"МС",IF(L123&lt;=157.6,"КМС",IF(L123&lt;=207.3,"I",IF(L123&lt;=216.3,"II",IF(L123&lt;=228,"III",IF(L123&lt;=244,"I юн",IF(L123&lt;=258.5,"II юн",IF(L123&lt;=312,"III юн","б/р")))))))))))</f>
        <v>III юн</v>
      </c>
      <c r="O123" s="540"/>
      <c r="P123" s="753"/>
      <c r="Q123" s="753"/>
      <c r="R123" s="753"/>
      <c r="S123" s="753"/>
      <c r="T123" s="753"/>
      <c r="U123" s="753"/>
      <c r="V123" s="753"/>
      <c r="W123" s="753"/>
      <c r="X123" s="753"/>
      <c r="Y123" s="753"/>
      <c r="Z123" s="753"/>
      <c r="AA123" s="753"/>
      <c r="AB123" s="753"/>
      <c r="AC123" s="753"/>
      <c r="AD123" s="753"/>
      <c r="AE123" s="753"/>
      <c r="AF123" s="753"/>
      <c r="AG123" s="753"/>
      <c r="AH123" s="753"/>
    </row>
    <row r="124" spans="3:34">
      <c r="C124" s="542"/>
      <c r="D124" s="542"/>
      <c r="E124" s="542"/>
      <c r="F124" s="542"/>
      <c r="G124" s="542"/>
      <c r="H124" s="532"/>
      <c r="I124" s="540" t="str">
        <f>IF(ISBLANK(H124)," ",IF(ISTEXT(H124)," ",IF(H124&lt;=148.7,"МСМК",IF(H124&lt;=154.7,"МС",IF(H124&lt;=159.8,"КМС",IF(H124&lt;=208.6,"I",IF(H124&lt;=217.7,"II",IF(H124&lt;=229.7,"III","б/р"))))))))</f>
        <v xml:space="preserve"> </v>
      </c>
      <c r="J124" s="540" t="str">
        <f>IF(ISBLANK(H124)," ",IF(ISTEXT(H124)," ",IF(H124&lt;=148.7,"МСМК",IF(H124&lt;=154.7,"МС",IF(H124&lt;=159.8,"КМС",IF(H124&lt;=208.6,"I",IF(H124&lt;=217.7,"II",IF(H124&lt;=229.7,"III","б/р"))))))))</f>
        <v xml:space="preserve"> </v>
      </c>
      <c r="K124" s="859"/>
      <c r="P124" s="743"/>
      <c r="Q124" s="743"/>
      <c r="R124" s="743"/>
      <c r="S124" s="743"/>
      <c r="T124" s="743"/>
      <c r="U124" s="743"/>
      <c r="V124" s="743"/>
      <c r="W124" s="743"/>
      <c r="X124" s="743"/>
      <c r="Y124" s="743"/>
      <c r="Z124" s="743"/>
      <c r="AA124" s="743"/>
      <c r="AB124" s="743"/>
      <c r="AC124" s="743"/>
      <c r="AD124" s="743"/>
      <c r="AE124" s="743"/>
      <c r="AF124" s="743"/>
      <c r="AG124" s="743"/>
      <c r="AH124" s="753"/>
    </row>
    <row r="125" spans="3:34">
      <c r="C125" s="524" t="s">
        <v>150</v>
      </c>
      <c r="D125" s="542"/>
      <c r="E125" s="542"/>
      <c r="F125" s="542"/>
      <c r="G125" s="542"/>
      <c r="H125" s="532"/>
      <c r="I125" s="541"/>
      <c r="J125" s="542"/>
      <c r="K125" s="860"/>
      <c r="P125" s="742"/>
      <c r="Q125" s="742"/>
      <c r="R125" s="742"/>
      <c r="S125" s="742"/>
      <c r="T125" s="742"/>
      <c r="U125" s="742"/>
      <c r="V125" s="742"/>
      <c r="W125" s="742"/>
      <c r="X125" s="742"/>
      <c r="Y125" s="742"/>
      <c r="Z125" s="742"/>
      <c r="AA125" s="742"/>
      <c r="AB125" s="742"/>
      <c r="AC125" s="742"/>
      <c r="AD125" s="742"/>
      <c r="AE125" s="742"/>
      <c r="AF125" s="742"/>
      <c r="AG125" s="742"/>
      <c r="AH125" s="753"/>
    </row>
    <row r="126" spans="3:34">
      <c r="C126" s="542"/>
      <c r="D126" s="542"/>
      <c r="E126" s="542"/>
      <c r="F126" s="542"/>
      <c r="G126" s="542"/>
      <c r="H126" s="532">
        <v>136.5</v>
      </c>
      <c r="I126" s="540" t="str">
        <f t="shared" ref="I126:I133" si="56">IF(ISBLANK(H126)," ",IF(ISTEXT(H126)," ",IF(H126&lt;=136.5,"МСМК",IF(H126&lt;=141.4,"МС",IF(H126&lt;=146,"КМС",IF(H126&lt;=154.8,"I",IF(H126&lt;=204,"II",IF(H126&lt;=214.8,"III",IF(H126&lt;=228.7,"I юн",IF(H126&lt;=242.2,"II юн",IF(H126&lt;=255.2,"III юн","б/р")))))))))))</f>
        <v>МСМК</v>
      </c>
      <c r="J126" s="540" t="str">
        <f t="shared" ref="J126:J133" si="57">IF(ISBLANK(H126)," ",IF(ISTEXT(H126)," ",IF(H126&lt;=136.5,"МСМК",IF(H126&lt;=141.4,"МС",IF(H126&lt;=146,"КМС",IF(H126&lt;=154.8,"I",IF(H126&lt;=204,"II",IF(H126&lt;=214.8,"III",IF(H126&lt;=228.7,"I юн",IF(H126&lt;=242.2,"II юн",IF(H126&lt;=255.2,"III юн","б/р")))))))))))</f>
        <v>МСМК</v>
      </c>
      <c r="K126" s="862"/>
      <c r="L126" s="749">
        <f>H126</f>
        <v>136.5</v>
      </c>
      <c r="M126" s="747" t="str">
        <f t="shared" ref="M126:M133" si="58">IF(ISBLANK(L126)," ",IF(ISTEXT(L126)," ",IF(L126&lt;=136.5,"МСМК",IF(L126&lt;=141.4,"МС",IF(L126&lt;=145.8,"КМС",IF(L126&lt;=154.6,"I",IF(L126&lt;=203.8,"II",IF(L126&lt;=214.6,"III",IF(L126&lt;=228.5,"I юн",IF(L126&lt;=242,"II юн",IF(L126&lt;=255,"III юн","б/р")))))))))))</f>
        <v>МСМК</v>
      </c>
      <c r="N126" s="747" t="str">
        <f t="shared" ref="N126:N133" si="59">IF(ISBLANK(L126)," ",IF(ISTEXT(L126)," ",IF(L126&lt;=136.5,"МСМК",IF(L126&lt;=141.4,"МС",IF(L126&lt;=145.8,"КМС",IF(L126&lt;=154.6,"I",IF(L126&lt;=203.8,"II",IF(L126&lt;=214.6,"III",IF(L126&lt;=228.5,"I юн",IF(L126&lt;=242,"II юн",IF(L126&lt;=255,"III юн","б/р")))))))))))</f>
        <v>МСМК</v>
      </c>
      <c r="O126" s="540"/>
      <c r="P126" s="753"/>
      <c r="Q126" s="753"/>
      <c r="R126" s="753"/>
      <c r="S126" s="753"/>
      <c r="T126" s="753"/>
      <c r="U126" s="753"/>
      <c r="V126" s="753"/>
      <c r="W126" s="753"/>
      <c r="X126" s="753"/>
      <c r="Y126" s="753"/>
      <c r="Z126" s="753"/>
      <c r="AA126" s="753"/>
      <c r="AB126" s="753"/>
      <c r="AC126" s="753"/>
      <c r="AD126" s="753"/>
      <c r="AE126" s="753"/>
      <c r="AF126" s="753"/>
      <c r="AG126" s="753"/>
      <c r="AH126" s="753"/>
    </row>
    <row r="127" spans="3:34">
      <c r="C127" s="542"/>
      <c r="D127" s="542"/>
      <c r="E127" s="542"/>
      <c r="F127" s="542"/>
      <c r="G127" s="542"/>
      <c r="H127" s="532">
        <v>141.4</v>
      </c>
      <c r="I127" s="540" t="str">
        <f t="shared" si="56"/>
        <v>МС</v>
      </c>
      <c r="J127" s="540" t="str">
        <f t="shared" si="57"/>
        <v>МС</v>
      </c>
      <c r="K127" s="862"/>
      <c r="L127" s="749">
        <f>H127</f>
        <v>141.4</v>
      </c>
      <c r="M127" s="747" t="str">
        <f t="shared" si="58"/>
        <v>МС</v>
      </c>
      <c r="N127" s="747" t="str">
        <f t="shared" si="59"/>
        <v>МС</v>
      </c>
      <c r="O127" s="540"/>
      <c r="P127" s="753"/>
      <c r="Q127" s="753"/>
      <c r="R127" s="753"/>
      <c r="S127" s="753"/>
      <c r="T127" s="753"/>
      <c r="U127" s="753"/>
      <c r="V127" s="753"/>
      <c r="W127" s="753"/>
      <c r="X127" s="753"/>
      <c r="Y127" s="753"/>
      <c r="Z127" s="753"/>
      <c r="AA127" s="753"/>
      <c r="AB127" s="753"/>
      <c r="AC127" s="753"/>
      <c r="AD127" s="753"/>
      <c r="AE127" s="753"/>
      <c r="AF127" s="753"/>
      <c r="AG127" s="753"/>
      <c r="AH127" s="753"/>
    </row>
    <row r="128" spans="3:34">
      <c r="C128" s="542"/>
      <c r="D128" s="542"/>
      <c r="E128" s="542"/>
      <c r="F128" s="542"/>
      <c r="G128" s="542"/>
      <c r="H128" s="532">
        <v>146</v>
      </c>
      <c r="I128" s="540" t="str">
        <f t="shared" si="56"/>
        <v>КМС</v>
      </c>
      <c r="J128" s="540" t="str">
        <f t="shared" si="57"/>
        <v>КМС</v>
      </c>
      <c r="K128" s="862"/>
      <c r="L128" s="532">
        <f>H128-0.2</f>
        <v>145.80000000000001</v>
      </c>
      <c r="M128" s="540" t="str">
        <f t="shared" si="58"/>
        <v>КМС</v>
      </c>
      <c r="N128" s="540" t="str">
        <f t="shared" si="59"/>
        <v>КМС</v>
      </c>
      <c r="O128" s="540"/>
      <c r="P128" s="753"/>
      <c r="Q128" s="753"/>
      <c r="R128" s="753"/>
      <c r="S128" s="753"/>
      <c r="T128" s="753"/>
      <c r="U128" s="753"/>
      <c r="V128" s="753"/>
      <c r="W128" s="753"/>
      <c r="X128" s="753"/>
      <c r="Y128" s="753"/>
      <c r="Z128" s="753"/>
      <c r="AA128" s="753"/>
      <c r="AB128" s="753"/>
      <c r="AC128" s="753"/>
      <c r="AD128" s="753"/>
      <c r="AE128" s="753"/>
      <c r="AF128" s="753"/>
      <c r="AG128" s="753"/>
      <c r="AH128" s="753"/>
    </row>
    <row r="129" spans="3:34">
      <c r="C129" s="542"/>
      <c r="D129" s="542"/>
      <c r="E129" s="542"/>
      <c r="F129" s="542"/>
      <c r="G129" s="542"/>
      <c r="H129" s="532">
        <v>154.80000000000001</v>
      </c>
      <c r="I129" s="540" t="str">
        <f t="shared" si="56"/>
        <v>I</v>
      </c>
      <c r="J129" s="540" t="str">
        <f t="shared" si="57"/>
        <v>I</v>
      </c>
      <c r="K129" s="862"/>
      <c r="L129" s="532">
        <f t="shared" ref="L129:L134" si="60">H129-0.2</f>
        <v>154.60000000000002</v>
      </c>
      <c r="M129" s="540" t="str">
        <f t="shared" si="58"/>
        <v>I</v>
      </c>
      <c r="N129" s="540" t="str">
        <f t="shared" si="59"/>
        <v>I</v>
      </c>
      <c r="O129" s="540"/>
      <c r="P129" s="753"/>
      <c r="Q129" s="753"/>
      <c r="R129" s="753"/>
      <c r="S129" s="753"/>
      <c r="T129" s="753"/>
      <c r="U129" s="753"/>
      <c r="V129" s="753"/>
      <c r="W129" s="753"/>
      <c r="X129" s="753"/>
      <c r="Y129" s="753"/>
      <c r="Z129" s="753"/>
      <c r="AA129" s="753"/>
      <c r="AB129" s="753"/>
      <c r="AC129" s="753"/>
      <c r="AD129" s="753"/>
      <c r="AE129" s="753"/>
      <c r="AF129" s="753"/>
      <c r="AG129" s="753"/>
      <c r="AH129" s="753"/>
    </row>
    <row r="130" spans="3:34">
      <c r="C130" s="542"/>
      <c r="D130" s="542"/>
      <c r="E130" s="542"/>
      <c r="F130" s="542"/>
      <c r="G130" s="542"/>
      <c r="H130" s="532">
        <v>204</v>
      </c>
      <c r="I130" s="540" t="str">
        <f t="shared" si="56"/>
        <v>II</v>
      </c>
      <c r="J130" s="540" t="str">
        <f t="shared" si="57"/>
        <v>II</v>
      </c>
      <c r="K130" s="862"/>
      <c r="L130" s="532">
        <f t="shared" si="60"/>
        <v>203.8</v>
      </c>
      <c r="M130" s="540" t="str">
        <f t="shared" si="58"/>
        <v>II</v>
      </c>
      <c r="N130" s="540" t="str">
        <f t="shared" si="59"/>
        <v>II</v>
      </c>
      <c r="O130" s="540"/>
      <c r="P130" s="753"/>
      <c r="Q130" s="753"/>
      <c r="R130" s="753"/>
      <c r="S130" s="753"/>
      <c r="T130" s="753"/>
      <c r="U130" s="753"/>
      <c r="V130" s="753"/>
      <c r="W130" s="753"/>
      <c r="X130" s="753"/>
      <c r="Y130" s="753"/>
      <c r="Z130" s="753"/>
      <c r="AA130" s="753"/>
      <c r="AB130" s="753"/>
      <c r="AC130" s="753"/>
      <c r="AD130" s="753"/>
      <c r="AE130" s="753"/>
      <c r="AF130" s="753"/>
      <c r="AG130" s="753"/>
      <c r="AH130" s="753"/>
    </row>
    <row r="131" spans="3:34">
      <c r="C131" s="542"/>
      <c r="D131" s="542"/>
      <c r="E131" s="542"/>
      <c r="F131" s="542"/>
      <c r="G131" s="542"/>
      <c r="H131" s="532">
        <v>214.8</v>
      </c>
      <c r="I131" s="540" t="str">
        <f t="shared" si="56"/>
        <v>III</v>
      </c>
      <c r="J131" s="540" t="str">
        <f t="shared" si="57"/>
        <v>III</v>
      </c>
      <c r="K131" s="862"/>
      <c r="L131" s="532">
        <f t="shared" si="60"/>
        <v>214.60000000000002</v>
      </c>
      <c r="M131" s="540" t="str">
        <f t="shared" si="58"/>
        <v>III</v>
      </c>
      <c r="N131" s="540" t="str">
        <f t="shared" si="59"/>
        <v>III</v>
      </c>
      <c r="O131" s="540"/>
      <c r="P131" s="753"/>
      <c r="Q131" s="753"/>
      <c r="R131" s="753"/>
      <c r="S131" s="753"/>
      <c r="T131" s="753"/>
      <c r="U131" s="753"/>
      <c r="V131" s="753"/>
      <c r="W131" s="753"/>
      <c r="X131" s="753"/>
      <c r="Y131" s="753"/>
      <c r="Z131" s="753"/>
      <c r="AA131" s="753"/>
      <c r="AB131" s="753"/>
      <c r="AC131" s="753"/>
      <c r="AD131" s="753"/>
      <c r="AE131" s="753"/>
      <c r="AF131" s="753"/>
      <c r="AG131" s="753"/>
      <c r="AH131" s="753"/>
    </row>
    <row r="132" spans="3:34">
      <c r="C132" s="542"/>
      <c r="D132" s="542"/>
      <c r="E132" s="542"/>
      <c r="F132" s="542"/>
      <c r="G132" s="542"/>
      <c r="H132" s="145">
        <v>228.7</v>
      </c>
      <c r="I132" s="540" t="str">
        <f t="shared" si="56"/>
        <v>I юн</v>
      </c>
      <c r="J132" s="540" t="str">
        <f t="shared" si="57"/>
        <v>I юн</v>
      </c>
      <c r="K132" s="862"/>
      <c r="L132" s="532">
        <f t="shared" si="60"/>
        <v>228.5</v>
      </c>
      <c r="M132" s="540" t="str">
        <f t="shared" si="58"/>
        <v>I юн</v>
      </c>
      <c r="N132" s="540" t="str">
        <f t="shared" si="59"/>
        <v>I юн</v>
      </c>
      <c r="O132" s="540"/>
      <c r="P132" s="753"/>
      <c r="Q132" s="753"/>
      <c r="R132" s="753"/>
      <c r="S132" s="753"/>
      <c r="T132" s="753"/>
      <c r="U132" s="753"/>
      <c r="V132" s="753"/>
      <c r="W132" s="753"/>
      <c r="X132" s="753"/>
      <c r="Y132" s="753"/>
      <c r="Z132" s="753"/>
      <c r="AA132" s="753"/>
      <c r="AB132" s="753"/>
      <c r="AC132" s="753"/>
      <c r="AD132" s="753"/>
      <c r="AE132" s="753"/>
      <c r="AF132" s="753"/>
      <c r="AG132" s="753"/>
      <c r="AH132" s="753"/>
    </row>
    <row r="133" spans="3:34">
      <c r="C133" s="542"/>
      <c r="D133" s="542"/>
      <c r="E133" s="542"/>
      <c r="F133" s="542"/>
      <c r="G133" s="542"/>
      <c r="H133" s="145">
        <v>242.2</v>
      </c>
      <c r="I133" s="540" t="str">
        <f t="shared" si="56"/>
        <v>II юн</v>
      </c>
      <c r="J133" s="540" t="str">
        <f t="shared" si="57"/>
        <v>II юн</v>
      </c>
      <c r="K133" s="862"/>
      <c r="L133" s="532">
        <f t="shared" si="60"/>
        <v>242</v>
      </c>
      <c r="M133" s="540" t="str">
        <f t="shared" si="58"/>
        <v>II юн</v>
      </c>
      <c r="N133" s="540" t="str">
        <f t="shared" si="59"/>
        <v>II юн</v>
      </c>
      <c r="O133" s="540"/>
      <c r="P133" s="753"/>
      <c r="Q133" s="753"/>
      <c r="R133" s="753"/>
      <c r="S133" s="753"/>
      <c r="T133" s="753"/>
      <c r="U133" s="753"/>
      <c r="V133" s="753"/>
      <c r="W133" s="753"/>
      <c r="X133" s="753"/>
      <c r="Y133" s="753"/>
      <c r="Z133" s="753"/>
      <c r="AA133" s="753"/>
      <c r="AB133" s="753"/>
      <c r="AC133" s="753"/>
      <c r="AD133" s="753"/>
      <c r="AE133" s="753"/>
      <c r="AF133" s="753"/>
      <c r="AG133" s="753"/>
      <c r="AH133" s="753"/>
    </row>
    <row r="134" spans="3:34">
      <c r="C134" s="542"/>
      <c r="D134" s="542"/>
      <c r="E134" s="542"/>
      <c r="F134" s="542"/>
      <c r="G134" s="542"/>
      <c r="H134" s="145">
        <v>255.2</v>
      </c>
      <c r="I134" s="540" t="str">
        <f>IF(ISBLANK(H134)," ",IF(ISTEXT(H134)," ",IF(H134&lt;=136.5,"МСМК",IF(H134&lt;=141.4,"МС",IF(H134&lt;=146,"КМС",IF(H134&lt;=154.8,"I",IF(H134&lt;=204,"II",IF(H134&lt;=214.8,"III",IF(H134&lt;=228.7,"I юн",IF(H134&lt;=242.2,"II юн",IF(H134&lt;=255.2,"III юн","б/р")))))))))))</f>
        <v>III юн</v>
      </c>
      <c r="J134" s="540" t="str">
        <f>IF(ISBLANK(H134)," ",IF(ISTEXT(H134)," ",IF(H134&lt;=136.5,"МСМК",IF(H134&lt;=141.4,"МС",IF(H134&lt;=146,"КМС",IF(H134&lt;=154.8,"I",IF(H134&lt;=204,"II",IF(H134&lt;=214.8,"III",IF(H134&lt;=228.7,"I юн",IF(H134&lt;=242.2,"II юн",IF(H134&lt;=255.2,"III юн","б/р")))))))))))</f>
        <v>III юн</v>
      </c>
      <c r="K134" s="862"/>
      <c r="L134" s="532">
        <f t="shared" si="60"/>
        <v>255</v>
      </c>
      <c r="M134" s="540" t="str">
        <f>IF(ISBLANK(L134)," ",IF(ISTEXT(L134)," ",IF(L134&lt;=136.5,"МСМК",IF(L134&lt;=141.4,"МС",IF(L134&lt;=145.8,"КМС",IF(L134&lt;=154.6,"I",IF(L134&lt;=203.8,"II",IF(L134&lt;=214.6,"III",IF(L134&lt;=228.5,"I юн",IF(L134&lt;=242,"II юн",IF(L134&lt;=255,"III юн","б/р")))))))))))</f>
        <v>III юн</v>
      </c>
      <c r="N134" s="540" t="str">
        <f>IF(ISBLANK(L134)," ",IF(ISTEXT(L134)," ",IF(L134&lt;=136.5,"МСМК",IF(L134&lt;=141.4,"МС",IF(L134&lt;=145.8,"КМС",IF(L134&lt;=154.6,"I",IF(L134&lt;=203.8,"II",IF(L134&lt;=214.6,"III",IF(L134&lt;=228.5,"I юн",IF(L134&lt;=242,"II юн",IF(L134&lt;=255,"III юн","б/р")))))))))))</f>
        <v>III юн</v>
      </c>
      <c r="O134" s="540"/>
    </row>
    <row r="135" spans="3:34">
      <c r="C135" s="542"/>
      <c r="D135" s="542"/>
      <c r="E135" s="542"/>
      <c r="F135" s="542"/>
      <c r="G135" s="542"/>
      <c r="H135" s="532"/>
      <c r="I135" s="540" t="str">
        <f>IF(ISBLANK(H135)," ",IF(ISTEXT(H135)," ",IF(H135&lt;=138.4,"МСМК",IF(H135&lt;=143.1,"МС",IF(H135&lt;=148.2,"КМС",IF(H135&lt;=156,"I",IF(H135&lt;=205.2,"II",IF(H135&lt;=216.2,"III","б/р"))))))))</f>
        <v xml:space="preserve"> </v>
      </c>
      <c r="J135" s="540" t="str">
        <f>IF(ISBLANK(H135)," ",IF(ISTEXT(H135)," ",IF(H135&lt;=138.4,"МСМК",IF(H135&lt;=143.1,"МС",IF(H135&lt;=148.2,"КМС",IF(H135&lt;=156,"I",IF(H135&lt;=205.2,"II",IF(H135&lt;=216.2,"III","б/р"))))))))</f>
        <v xml:space="preserve"> </v>
      </c>
      <c r="K135" s="862"/>
      <c r="M135" s="540" t="str">
        <f>IF(ISBLANK(L135)," ",IF(ISTEXT(L135)," ",IF(L135&lt;=148.2,"КМС",IF(L135&lt;=156.1,"I",IF(L135&lt;=206,"II",IF(L135&lt;=216.8,"III",IF(L135&lt;=226.6,"I юн",IF(L135&lt;=243.3,"II юн",IF(L135&lt;=257,"III юн","б/р")))))))))</f>
        <v xml:space="preserve"> </v>
      </c>
      <c r="N135" s="540" t="str">
        <f>IF(ISBLANK(L135)," ",IF(ISTEXT(L135)," ",IF(L135&lt;=148.2,"КМС",IF(L135&lt;=156.1,"I",IF(L135&lt;=206,"II",IF(L135&lt;=216.8,"III",IF(L135&lt;=226.6,"I юн",IF(L135&lt;=243.3,"II юн",IF(L135&lt;=257,"III юн","б/р")))))))))</f>
        <v xml:space="preserve"> </v>
      </c>
      <c r="O135" s="540"/>
    </row>
    <row r="136" spans="3:34">
      <c r="C136" s="524" t="s">
        <v>57</v>
      </c>
      <c r="D136" s="525"/>
      <c r="E136" s="526"/>
      <c r="F136" s="524"/>
      <c r="G136" s="524"/>
      <c r="H136" s="527"/>
      <c r="I136" s="532"/>
      <c r="J136" s="524"/>
      <c r="K136" s="861"/>
      <c r="P136" s="753"/>
      <c r="Q136" s="753"/>
      <c r="R136" s="753"/>
      <c r="S136" s="753"/>
      <c r="T136" s="753"/>
      <c r="U136" s="753"/>
      <c r="V136" s="753"/>
      <c r="W136" s="753"/>
      <c r="X136" s="753"/>
      <c r="Y136" s="753"/>
      <c r="Z136" s="753"/>
      <c r="AA136" s="753"/>
      <c r="AB136" s="753"/>
      <c r="AC136" s="753"/>
      <c r="AD136" s="753"/>
      <c r="AE136" s="753"/>
      <c r="AF136" s="753"/>
      <c r="AG136" s="753"/>
      <c r="AH136" s="753"/>
    </row>
    <row r="137" spans="3:34">
      <c r="C137" s="762"/>
      <c r="D137" s="531"/>
      <c r="E137" s="586"/>
      <c r="F137" s="762"/>
      <c r="G137" s="762"/>
      <c r="H137" s="146">
        <v>318.2</v>
      </c>
      <c r="I137" s="540" t="str">
        <f t="shared" ref="I137:I144" si="61">IF(ISBLANK(H137)," ",IF(ISTEXT(H137)," ",IF(H137&lt;=318.2,"МСМК",IF(H137&lt;=328.6,"МС",IF(H137&lt;=338.8,"КМС",IF(H137&lt;=355.4,"I",IF(H137&lt;=413.6,"II",IF(H137&lt;=433.25,"III",IF(H137&lt;=500.2,"I юн",IF(H137&lt;=530.2,"II юн",IF(H137&lt;=555.2,"III юн","б/р")))))))))))</f>
        <v>МСМК</v>
      </c>
      <c r="J137" s="540" t="str">
        <f t="shared" ref="J137:J144" si="62">IF(ISBLANK(H137)," ",IF(ISTEXT(H137)," ",IF(H137&lt;=318.2,"МСМК",IF(H137&lt;=328.6,"МС",IF(H137&lt;=338.8,"КМС",IF(H137&lt;=355.4,"I",IF(H137&lt;=413.6,"II",IF(H137&lt;=433.25,"III",IF(H137&lt;=500.2,"I юн",IF(H137&lt;=530.2,"II юн",IF(H137&lt;=555.2,"III юн","б/р")))))))))))</f>
        <v>МСМК</v>
      </c>
      <c r="K137" s="859"/>
      <c r="L137" s="748">
        <f>H137</f>
        <v>318.2</v>
      </c>
      <c r="M137" s="747" t="str">
        <f>IF(ISBLANK(L137)," ",IF(ISTEXT(L137)," ",IF(L137&lt;=318.2,"МСМК",IF(L137&lt;=328.6,"МС",IF(L137&lt;=338.6,"КМС",IF(L137&lt;=355.2,"I",IF(L137&lt;=413.4,"II",IF(L137&lt;=433,"III",IF(L137&lt;=500,"I юн",IF(L137&lt;=530,"II юн",IF(L137&lt;=555,"III юн","б/р")))))))))))</f>
        <v>МСМК</v>
      </c>
      <c r="N137" s="747" t="str">
        <f>IF(ISBLANK(L137)," ",IF(ISTEXT(L137)," ",IF(L137&lt;=318.2,"МСМК",IF(L137&lt;=328.6,"МС",IF(L137&lt;=338.6,"КМС",IF(L137&lt;=355.2,"I",IF(L137&lt;=413.4,"II",IF(L137&lt;=433,"III",IF(L137&lt;=500,"I юн",IF(L137&lt;=530,"II юн",IF(L137&lt;=555,"III юн","б/р")))))))))))</f>
        <v>МСМК</v>
      </c>
      <c r="P137" s="753"/>
      <c r="Q137" s="753"/>
      <c r="R137" s="753"/>
      <c r="S137" s="753"/>
      <c r="T137" s="753"/>
      <c r="U137" s="753"/>
      <c r="V137" s="753"/>
      <c r="W137" s="753"/>
      <c r="X137" s="753"/>
      <c r="Y137" s="753"/>
      <c r="Z137" s="753"/>
      <c r="AA137" s="753"/>
      <c r="AB137" s="753"/>
      <c r="AC137" s="753"/>
      <c r="AD137" s="753"/>
      <c r="AE137" s="753"/>
      <c r="AF137" s="753"/>
      <c r="AG137" s="753"/>
      <c r="AH137" s="753"/>
    </row>
    <row r="138" spans="3:34">
      <c r="C138" s="762"/>
      <c r="D138" s="531"/>
      <c r="E138" s="586"/>
      <c r="F138" s="762"/>
      <c r="G138" s="762"/>
      <c r="H138" s="146">
        <v>328.6</v>
      </c>
      <c r="I138" s="540" t="str">
        <f t="shared" si="61"/>
        <v>МС</v>
      </c>
      <c r="J138" s="540" t="str">
        <f t="shared" si="62"/>
        <v>МС</v>
      </c>
      <c r="K138" s="859"/>
      <c r="L138" s="748">
        <f>H138</f>
        <v>328.6</v>
      </c>
      <c r="M138" s="747" t="str">
        <f t="shared" ref="M138:M145" si="63">IF(ISBLANK(L138)," ",IF(ISTEXT(L138)," ",IF(L138&lt;=318.2,"МСМК",IF(L138&lt;=328.6,"МС",IF(L138&lt;=338.6,"КМС",IF(L138&lt;=355.2,"I",IF(L138&lt;=413.4,"II",IF(L138&lt;=433,"III",IF(L138&lt;=500,"I юн",IF(L138&lt;=530,"II юн",IF(L138&lt;=555,"III юн","б/р")))))))))))</f>
        <v>МС</v>
      </c>
      <c r="N138" s="747" t="str">
        <f t="shared" ref="N138:N145" si="64">IF(ISBLANK(L138)," ",IF(ISTEXT(L138)," ",IF(L138&lt;=318.2,"МСМК",IF(L138&lt;=328.6,"МС",IF(L138&lt;=338.6,"КМС",IF(L138&lt;=355.2,"I",IF(L138&lt;=413.4,"II",IF(L138&lt;=433,"III",IF(L138&lt;=500,"I юн",IF(L138&lt;=530,"II юн",IF(L138&lt;=555,"III юн","б/р")))))))))))</f>
        <v>МС</v>
      </c>
      <c r="P138" s="753"/>
      <c r="Q138" s="753"/>
      <c r="R138" s="753"/>
      <c r="S138" s="753"/>
      <c r="T138" s="753"/>
      <c r="U138" s="753"/>
      <c r="V138" s="753"/>
      <c r="W138" s="753"/>
      <c r="X138" s="753"/>
      <c r="Y138" s="753"/>
      <c r="Z138" s="753"/>
      <c r="AA138" s="753"/>
      <c r="AB138" s="753"/>
      <c r="AC138" s="753"/>
      <c r="AD138" s="753"/>
      <c r="AE138" s="753"/>
      <c r="AF138" s="753"/>
      <c r="AG138" s="753"/>
      <c r="AH138" s="753"/>
    </row>
    <row r="139" spans="3:34">
      <c r="C139" s="762"/>
      <c r="D139" s="531"/>
      <c r="E139" s="586"/>
      <c r="F139" s="762"/>
      <c r="G139" s="762"/>
      <c r="H139" s="146">
        <v>338.8</v>
      </c>
      <c r="I139" s="540" t="str">
        <f t="shared" si="61"/>
        <v>КМС</v>
      </c>
      <c r="J139" s="540" t="str">
        <f t="shared" si="62"/>
        <v>КМС</v>
      </c>
      <c r="K139" s="859"/>
      <c r="L139" s="146">
        <f>H139-0.2</f>
        <v>338.6</v>
      </c>
      <c r="M139" s="540" t="str">
        <f t="shared" si="63"/>
        <v>КМС</v>
      </c>
      <c r="N139" s="540" t="str">
        <f t="shared" si="64"/>
        <v>КМС</v>
      </c>
      <c r="P139" s="753"/>
      <c r="Q139" s="753"/>
      <c r="R139" s="753"/>
      <c r="S139" s="753"/>
      <c r="T139" s="753"/>
      <c r="U139" s="753"/>
      <c r="V139" s="753"/>
      <c r="W139" s="753"/>
      <c r="X139" s="753"/>
      <c r="Y139" s="753"/>
      <c r="Z139" s="753"/>
      <c r="AA139" s="753"/>
      <c r="AB139" s="753"/>
      <c r="AC139" s="753"/>
      <c r="AD139" s="753"/>
      <c r="AE139" s="753"/>
      <c r="AF139" s="753"/>
      <c r="AG139" s="753"/>
      <c r="AH139" s="753"/>
    </row>
    <row r="140" spans="3:34">
      <c r="C140" s="762"/>
      <c r="D140" s="531"/>
      <c r="E140" s="586"/>
      <c r="F140" s="762"/>
      <c r="G140" s="762"/>
      <c r="H140" s="146">
        <v>355.4</v>
      </c>
      <c r="I140" s="540" t="str">
        <f t="shared" si="61"/>
        <v>I</v>
      </c>
      <c r="J140" s="540" t="str">
        <f t="shared" si="62"/>
        <v>I</v>
      </c>
      <c r="K140" s="859"/>
      <c r="L140" s="146">
        <f t="shared" ref="L140:L145" si="65">H140-0.2</f>
        <v>355.2</v>
      </c>
      <c r="M140" s="540" t="str">
        <f t="shared" si="63"/>
        <v>I</v>
      </c>
      <c r="N140" s="540" t="str">
        <f t="shared" si="64"/>
        <v>I</v>
      </c>
      <c r="P140" s="753"/>
      <c r="Q140" s="753"/>
      <c r="R140" s="753"/>
      <c r="S140" s="753"/>
      <c r="T140" s="753"/>
      <c r="U140" s="753"/>
      <c r="V140" s="753"/>
      <c r="W140" s="753"/>
      <c r="X140" s="753"/>
      <c r="Y140" s="753"/>
      <c r="Z140" s="753"/>
      <c r="AA140" s="753"/>
      <c r="AB140" s="753"/>
      <c r="AC140" s="753"/>
      <c r="AD140" s="753"/>
      <c r="AE140" s="753"/>
      <c r="AF140" s="753"/>
      <c r="AG140" s="753"/>
      <c r="AH140" s="753"/>
    </row>
    <row r="141" spans="3:34">
      <c r="C141" s="762"/>
      <c r="D141" s="531"/>
      <c r="E141" s="586"/>
      <c r="F141" s="762"/>
      <c r="G141" s="762"/>
      <c r="H141" s="146">
        <v>413.6</v>
      </c>
      <c r="I141" s="540" t="str">
        <f t="shared" si="61"/>
        <v>II</v>
      </c>
      <c r="J141" s="540" t="str">
        <f t="shared" si="62"/>
        <v>II</v>
      </c>
      <c r="K141" s="859"/>
      <c r="L141" s="146">
        <f t="shared" si="65"/>
        <v>413.40000000000003</v>
      </c>
      <c r="M141" s="540" t="str">
        <f t="shared" si="63"/>
        <v>II</v>
      </c>
      <c r="N141" s="540" t="str">
        <f t="shared" si="64"/>
        <v>II</v>
      </c>
      <c r="P141" s="753"/>
      <c r="Q141" s="753"/>
      <c r="R141" s="753"/>
      <c r="S141" s="753"/>
      <c r="T141" s="753"/>
      <c r="U141" s="753"/>
      <c r="V141" s="753"/>
      <c r="W141" s="753"/>
      <c r="X141" s="753"/>
      <c r="Y141" s="753"/>
      <c r="Z141" s="753"/>
      <c r="AA141" s="753"/>
      <c r="AB141" s="753"/>
      <c r="AC141" s="753"/>
      <c r="AD141" s="753"/>
      <c r="AE141" s="753"/>
      <c r="AF141" s="753"/>
      <c r="AG141" s="753"/>
      <c r="AH141" s="753"/>
    </row>
    <row r="142" spans="3:34">
      <c r="C142" s="762"/>
      <c r="D142" s="531"/>
      <c r="E142" s="586"/>
      <c r="F142" s="762"/>
      <c r="G142" s="762"/>
      <c r="H142" s="146">
        <v>433.2</v>
      </c>
      <c r="I142" s="540" t="str">
        <f t="shared" si="61"/>
        <v>III</v>
      </c>
      <c r="J142" s="540" t="str">
        <f t="shared" si="62"/>
        <v>III</v>
      </c>
      <c r="K142" s="859"/>
      <c r="L142" s="146">
        <f t="shared" si="65"/>
        <v>433</v>
      </c>
      <c r="M142" s="540" t="str">
        <f t="shared" si="63"/>
        <v>III</v>
      </c>
      <c r="N142" s="540" t="str">
        <f t="shared" si="64"/>
        <v>III</v>
      </c>
      <c r="P142" s="753"/>
      <c r="Q142" s="753"/>
      <c r="R142" s="753"/>
      <c r="S142" s="753"/>
      <c r="T142" s="753"/>
      <c r="U142" s="753"/>
      <c r="V142" s="753"/>
      <c r="W142" s="753"/>
      <c r="X142" s="753"/>
      <c r="Y142" s="753"/>
      <c r="Z142" s="753"/>
      <c r="AA142" s="753"/>
      <c r="AB142" s="753"/>
      <c r="AC142" s="753"/>
      <c r="AD142" s="753"/>
      <c r="AE142" s="753"/>
      <c r="AF142" s="753"/>
      <c r="AG142" s="753"/>
      <c r="AH142" s="753"/>
    </row>
    <row r="143" spans="3:34">
      <c r="C143" s="762"/>
      <c r="D143" s="531"/>
      <c r="E143" s="586"/>
      <c r="F143" s="762"/>
      <c r="G143" s="762"/>
      <c r="H143" s="145">
        <v>500.2</v>
      </c>
      <c r="I143" s="540" t="str">
        <f t="shared" si="61"/>
        <v>I юн</v>
      </c>
      <c r="J143" s="540" t="str">
        <f t="shared" si="62"/>
        <v>I юн</v>
      </c>
      <c r="K143" s="859"/>
      <c r="L143" s="146">
        <f t="shared" si="65"/>
        <v>500</v>
      </c>
      <c r="M143" s="540" t="str">
        <f t="shared" si="63"/>
        <v>I юн</v>
      </c>
      <c r="N143" s="540" t="str">
        <f t="shared" si="64"/>
        <v>I юн</v>
      </c>
      <c r="P143" s="753"/>
      <c r="Q143" s="753"/>
      <c r="R143" s="753"/>
      <c r="S143" s="753"/>
      <c r="T143" s="753"/>
      <c r="U143" s="753"/>
      <c r="V143" s="753"/>
      <c r="W143" s="753"/>
      <c r="X143" s="753"/>
      <c r="Y143" s="753"/>
      <c r="Z143" s="753"/>
      <c r="AA143" s="753"/>
      <c r="AB143" s="753"/>
      <c r="AC143" s="753"/>
      <c r="AD143" s="753"/>
      <c r="AE143" s="753"/>
      <c r="AF143" s="753"/>
      <c r="AG143" s="753"/>
      <c r="AH143" s="753"/>
    </row>
    <row r="144" spans="3:34">
      <c r="C144" s="762"/>
      <c r="D144" s="531"/>
      <c r="E144" s="586"/>
      <c r="F144" s="762"/>
      <c r="G144" s="762"/>
      <c r="H144" s="145">
        <v>530.20000000000005</v>
      </c>
      <c r="I144" s="540" t="str">
        <f t="shared" si="61"/>
        <v>II юн</v>
      </c>
      <c r="J144" s="540" t="str">
        <f t="shared" si="62"/>
        <v>II юн</v>
      </c>
      <c r="K144" s="859"/>
      <c r="L144" s="146">
        <f t="shared" si="65"/>
        <v>530</v>
      </c>
      <c r="M144" s="540" t="str">
        <f t="shared" si="63"/>
        <v>II юн</v>
      </c>
      <c r="N144" s="540" t="str">
        <f t="shared" si="64"/>
        <v>II юн</v>
      </c>
      <c r="P144" s="753"/>
      <c r="Q144" s="753"/>
      <c r="R144" s="753"/>
      <c r="S144" s="753"/>
      <c r="T144" s="753"/>
      <c r="U144" s="753"/>
      <c r="V144" s="753"/>
      <c r="W144" s="753"/>
      <c r="X144" s="753"/>
      <c r="Y144" s="753"/>
      <c r="Z144" s="753"/>
      <c r="AA144" s="753"/>
      <c r="AB144" s="753"/>
      <c r="AC144" s="753"/>
      <c r="AD144" s="753"/>
      <c r="AE144" s="753"/>
      <c r="AF144" s="753"/>
      <c r="AG144" s="753"/>
      <c r="AH144" s="753"/>
    </row>
    <row r="145" spans="3:34">
      <c r="C145" s="762"/>
      <c r="D145" s="531"/>
      <c r="E145" s="586"/>
      <c r="F145" s="762"/>
      <c r="G145" s="762"/>
      <c r="H145" s="145">
        <v>555.20000000000005</v>
      </c>
      <c r="I145" s="540" t="str">
        <f>IF(ISBLANK(H145)," ",IF(ISTEXT(H145)," ",IF(H145&lt;=318.2,"МСМК",IF(H145&lt;=328.6,"МС",IF(H145&lt;=338.8,"КМС",IF(H145&lt;=355.4,"I",IF(H145&lt;=413.6,"II",IF(H145&lt;=433.25,"III",IF(H145&lt;=500.2,"I юн",IF(H145&lt;=530.2,"II юн",IF(H145&lt;=555.2,"III юн","б/р")))))))))))</f>
        <v>III юн</v>
      </c>
      <c r="J145" s="540" t="str">
        <f>IF(ISBLANK(H145)," ",IF(ISTEXT(H145)," ",IF(H145&lt;=318.2,"МСМК",IF(H145&lt;=328.6,"МС",IF(H145&lt;=338.8,"КМС",IF(H145&lt;=355.4,"I",IF(H145&lt;=413.6,"II",IF(H145&lt;=433.25,"III",IF(H145&lt;=500.2,"I юн",IF(H145&lt;=530.2,"II юн",IF(H145&lt;=555.2,"III юн","б/р")))))))))))</f>
        <v>III юн</v>
      </c>
      <c r="K145" s="859"/>
      <c r="L145" s="146">
        <f t="shared" si="65"/>
        <v>555</v>
      </c>
      <c r="M145" s="540" t="str">
        <f t="shared" si="63"/>
        <v>III юн</v>
      </c>
      <c r="N145" s="540" t="str">
        <f t="shared" si="64"/>
        <v>III юн</v>
      </c>
      <c r="P145" s="753"/>
      <c r="Q145" s="753"/>
      <c r="R145" s="753"/>
      <c r="S145" s="753"/>
      <c r="T145" s="753"/>
      <c r="U145" s="753"/>
      <c r="V145" s="753"/>
      <c r="W145" s="753"/>
      <c r="X145" s="753"/>
      <c r="Y145" s="753"/>
      <c r="Z145" s="753"/>
      <c r="AA145" s="753"/>
      <c r="AB145" s="753"/>
      <c r="AC145" s="753"/>
      <c r="AD145" s="753"/>
      <c r="AE145" s="753"/>
      <c r="AF145" s="753"/>
      <c r="AG145" s="753"/>
      <c r="AH145" s="753"/>
    </row>
    <row r="146" spans="3:34">
      <c r="C146" s="762"/>
      <c r="D146" s="531"/>
      <c r="E146" s="586"/>
      <c r="F146" s="762"/>
      <c r="G146" s="762"/>
      <c r="H146" s="145"/>
      <c r="I146" s="540" t="str">
        <f>IF(ISBLANK(H146)," ",IF(ISTEXT(H146)," ",IF(H146&lt;=320.5,"МСМК",IF(H146&lt;=330.5,"МС",IF(H146&lt;=340.6,"КМС",IF(H146&lt;=356.5,"I",IF(H146&lt;=416.5,"II",IF(H146&lt;=438.5,"III",IF(H146&lt;=505,"I юн",IF(H146&lt;=533,"II юн",IF(H146&lt;=601,"III юн","б/р")))))))))))</f>
        <v xml:space="preserve"> </v>
      </c>
      <c r="J146" s="540" t="str">
        <f>IF(ISBLANK(H146)," ",IF(ISTEXT(H146)," ",IF(H146&lt;=320.5,"МСМК",IF(H146&lt;=330.5,"МС",IF(H146&lt;=340.6,"КМС",IF(H146&lt;=356.5,"I",IF(H146&lt;=416.5,"II",IF(H146&lt;=438.5,"III",IF(H146&lt;=505,"I юн",IF(H146&lt;=533,"II юн",IF(H146&lt;=601,"III юн","б/р")))))))))))</f>
        <v xml:space="preserve"> </v>
      </c>
      <c r="K146" s="859"/>
      <c r="P146" s="743"/>
      <c r="Q146" s="743"/>
      <c r="R146" s="743"/>
      <c r="S146" s="743"/>
      <c r="T146" s="743"/>
      <c r="U146" s="743"/>
      <c r="V146" s="743"/>
      <c r="W146" s="743"/>
      <c r="X146" s="743"/>
      <c r="Y146" s="743"/>
      <c r="Z146" s="743"/>
      <c r="AA146" s="743"/>
      <c r="AB146" s="742"/>
      <c r="AC146" s="742"/>
      <c r="AD146" s="742"/>
      <c r="AE146" s="742"/>
      <c r="AF146" s="742"/>
      <c r="AG146" s="742"/>
      <c r="AH146" s="753"/>
    </row>
    <row r="147" spans="3:34">
      <c r="C147" s="524" t="s">
        <v>130</v>
      </c>
      <c r="D147" s="525"/>
      <c r="E147" s="526"/>
      <c r="F147" s="524"/>
      <c r="G147" s="524"/>
      <c r="H147" s="527"/>
      <c r="I147" s="532"/>
      <c r="J147" s="542"/>
      <c r="K147" s="860"/>
      <c r="P147" s="742"/>
      <c r="Q147" s="742"/>
      <c r="R147" s="742"/>
      <c r="S147" s="742"/>
      <c r="T147" s="742"/>
      <c r="U147" s="742"/>
      <c r="V147" s="742"/>
      <c r="W147" s="742"/>
      <c r="X147" s="742"/>
      <c r="Y147" s="742"/>
      <c r="Z147" s="742"/>
      <c r="AA147" s="742"/>
      <c r="AB147" s="742"/>
      <c r="AC147" s="742"/>
      <c r="AD147" s="742"/>
      <c r="AE147" s="742"/>
      <c r="AF147" s="742"/>
      <c r="AG147" s="742"/>
      <c r="AH147" s="753"/>
    </row>
    <row r="148" spans="3:34">
      <c r="C148" s="762"/>
      <c r="D148" s="531"/>
      <c r="E148" s="586"/>
      <c r="F148" s="762"/>
      <c r="G148" s="762"/>
      <c r="H148" s="146">
        <v>304.2</v>
      </c>
      <c r="I148" s="540" t="str">
        <f t="shared" ref="I148:I155" si="66">IF(ISBLANK(H148)," ",IF(ISTEXT(H148)," ",IF(H148&lt;=304.2,"МСМК",IF(H148&lt;=314,"МС",IF(H148&lt;=322.2,"КМС",IF(H148&lt;=337,"I",IF(H148&lt;=355,"II",IF(H148&lt;=413,"III",IF(H148&lt;=441.9,"I юн",IF(H148&lt;=507.8,"II юн",IF(H148&lt;=533.7,"III юн","б/р")))))))))))</f>
        <v>МСМК</v>
      </c>
      <c r="J148" s="540" t="str">
        <f t="shared" ref="J148:J155" si="67">IF(ISBLANK(H148)," ",IF(ISTEXT(H148)," ",IF(H148&lt;=304.2,"МСМК",IF(H148&lt;=314,"МС",IF(H148&lt;=322.2,"КМС",IF(H148&lt;=337,"I",IF(H148&lt;=355,"II",IF(H148&lt;=413,"III",IF(H148&lt;=441.9,"I юн",IF(H148&lt;=507.8,"II юн",IF(H148&lt;=533.7,"III юн","б/р")))))))))))</f>
        <v>МСМК</v>
      </c>
      <c r="K148" s="859"/>
      <c r="L148" s="748">
        <f>H148</f>
        <v>304.2</v>
      </c>
      <c r="M148" s="747" t="str">
        <f>IF(ISBLANK(L148)," ",IF(ISTEXT(L148)," ",IF(L148&lt;=304.2,"МСМК",IF(L148&lt;=314,"МС",IF(L148&lt;=322,"КМС",IF(L148&lt;=336.8,"I",IF(L148&lt;=354.8,"II",IF(L148&lt;=412.8,"III",IF(L148&lt;=441.7,"I юн",IF(L148&lt;=507.6,"II юн",IF(L148&lt;=533.5,"III юн","б/р")))))))))))</f>
        <v>МСМК</v>
      </c>
      <c r="N148" s="747" t="str">
        <f>IF(ISBLANK(L148)," ",IF(ISTEXT(L148)," ",IF(L148&lt;=304.2,"МСМК",IF(L148&lt;=314,"МС",IF(L148&lt;=322,"КМС",IF(L148&lt;=336.8,"I",IF(L148&lt;=354.8,"II",IF(L148&lt;=412.8,"III",IF(L148&lt;=441.7,"I юн",IF(L148&lt;=507.6,"II юн",IF(L148&lt;=533.5,"III юн","б/р")))))))))))</f>
        <v>МСМК</v>
      </c>
      <c r="P148" s="753"/>
      <c r="Q148" s="753"/>
      <c r="R148" s="753"/>
      <c r="S148" s="753"/>
      <c r="T148" s="753"/>
      <c r="U148" s="753"/>
      <c r="V148" s="753"/>
      <c r="W148" s="753"/>
      <c r="X148" s="753"/>
      <c r="Y148" s="753"/>
      <c r="Z148" s="753"/>
      <c r="AA148" s="753"/>
      <c r="AB148" s="753"/>
      <c r="AC148" s="753"/>
      <c r="AD148" s="753"/>
      <c r="AE148" s="753"/>
      <c r="AF148" s="753"/>
      <c r="AG148" s="753"/>
      <c r="AH148" s="753"/>
    </row>
    <row r="149" spans="3:34">
      <c r="C149" s="762"/>
      <c r="D149" s="531"/>
      <c r="E149" s="586"/>
      <c r="F149" s="762"/>
      <c r="G149" s="762"/>
      <c r="H149" s="146">
        <v>314</v>
      </c>
      <c r="I149" s="540" t="str">
        <f t="shared" si="66"/>
        <v>МС</v>
      </c>
      <c r="J149" s="540" t="str">
        <f t="shared" si="67"/>
        <v>МС</v>
      </c>
      <c r="K149" s="859"/>
      <c r="L149" s="748">
        <f>H149</f>
        <v>314</v>
      </c>
      <c r="M149" s="747" t="str">
        <f t="shared" ref="M149:M156" si="68">IF(ISBLANK(L149)," ",IF(ISTEXT(L149)," ",IF(L149&lt;=304.2,"МСМК",IF(L149&lt;=314,"МС",IF(L149&lt;=322,"КМС",IF(L149&lt;=336.8,"I",IF(L149&lt;=354.8,"II",IF(L149&lt;=412.8,"III",IF(L149&lt;=441.7,"I юн",IF(L149&lt;=507.6,"II юн",IF(L149&lt;=533.5,"III юн","б/р")))))))))))</f>
        <v>МС</v>
      </c>
      <c r="N149" s="747" t="str">
        <f t="shared" ref="N149:N156" si="69">IF(ISBLANK(L149)," ",IF(ISTEXT(L149)," ",IF(L149&lt;=304.2,"МСМК",IF(L149&lt;=314,"МС",IF(L149&lt;=322,"КМС",IF(L149&lt;=336.8,"I",IF(L149&lt;=354.8,"II",IF(L149&lt;=412.8,"III",IF(L149&lt;=441.7,"I юн",IF(L149&lt;=507.6,"II юн",IF(L149&lt;=533.5,"III юн","б/р")))))))))))</f>
        <v>МС</v>
      </c>
      <c r="P149" s="753"/>
      <c r="Q149" s="753"/>
      <c r="R149" s="753"/>
      <c r="S149" s="753"/>
      <c r="T149" s="753"/>
      <c r="U149" s="753"/>
      <c r="V149" s="753"/>
      <c r="W149" s="753"/>
      <c r="X149" s="753"/>
      <c r="Y149" s="753"/>
      <c r="Z149" s="753"/>
      <c r="AA149" s="753"/>
      <c r="AB149" s="753"/>
      <c r="AC149" s="753"/>
      <c r="AD149" s="753"/>
      <c r="AE149" s="753"/>
      <c r="AF149" s="753"/>
      <c r="AG149" s="753"/>
      <c r="AH149" s="753"/>
    </row>
    <row r="150" spans="3:34">
      <c r="C150" s="762"/>
      <c r="D150" s="531"/>
      <c r="E150" s="586"/>
      <c r="F150" s="762"/>
      <c r="G150" s="762"/>
      <c r="H150" s="146">
        <v>322.2</v>
      </c>
      <c r="I150" s="540" t="str">
        <f t="shared" si="66"/>
        <v>КМС</v>
      </c>
      <c r="J150" s="540" t="str">
        <f t="shared" si="67"/>
        <v>КМС</v>
      </c>
      <c r="K150" s="859"/>
      <c r="L150" s="146">
        <f>H150-0.2</f>
        <v>322</v>
      </c>
      <c r="M150" s="540" t="str">
        <f t="shared" si="68"/>
        <v>КМС</v>
      </c>
      <c r="N150" s="540" t="str">
        <f t="shared" si="69"/>
        <v>КМС</v>
      </c>
      <c r="P150" s="753"/>
      <c r="Q150" s="753"/>
      <c r="R150" s="753"/>
      <c r="S150" s="753"/>
      <c r="T150" s="753"/>
      <c r="U150" s="753"/>
      <c r="V150" s="753"/>
      <c r="W150" s="753"/>
      <c r="X150" s="753"/>
      <c r="Y150" s="753"/>
      <c r="Z150" s="753"/>
      <c r="AA150" s="753"/>
      <c r="AB150" s="753"/>
      <c r="AC150" s="753"/>
      <c r="AD150" s="753"/>
      <c r="AE150" s="753"/>
      <c r="AF150" s="753"/>
      <c r="AG150" s="753"/>
      <c r="AH150" s="753"/>
    </row>
    <row r="151" spans="3:34">
      <c r="C151" s="762"/>
      <c r="D151" s="531"/>
      <c r="E151" s="586"/>
      <c r="F151" s="762"/>
      <c r="G151" s="762"/>
      <c r="H151" s="146">
        <v>337</v>
      </c>
      <c r="I151" s="540" t="str">
        <f t="shared" si="66"/>
        <v>I</v>
      </c>
      <c r="J151" s="540" t="str">
        <f t="shared" si="67"/>
        <v>I</v>
      </c>
      <c r="K151" s="859"/>
      <c r="L151" s="146">
        <f t="shared" ref="L151:L156" si="70">H151-0.2</f>
        <v>336.8</v>
      </c>
      <c r="M151" s="540" t="str">
        <f t="shared" si="68"/>
        <v>I</v>
      </c>
      <c r="N151" s="540" t="str">
        <f t="shared" si="69"/>
        <v>I</v>
      </c>
      <c r="P151" s="753"/>
      <c r="Q151" s="753"/>
      <c r="R151" s="753"/>
      <c r="S151" s="753"/>
      <c r="T151" s="753"/>
      <c r="U151" s="753"/>
      <c r="V151" s="753"/>
      <c r="W151" s="753"/>
      <c r="X151" s="753"/>
      <c r="Y151" s="753"/>
      <c r="Z151" s="753"/>
      <c r="AA151" s="753"/>
      <c r="AB151" s="753"/>
      <c r="AC151" s="753"/>
      <c r="AD151" s="753"/>
      <c r="AE151" s="753"/>
      <c r="AF151" s="753"/>
      <c r="AG151" s="753"/>
      <c r="AH151" s="753"/>
    </row>
    <row r="152" spans="3:34">
      <c r="C152" s="762"/>
      <c r="D152" s="531"/>
      <c r="E152" s="586"/>
      <c r="F152" s="762"/>
      <c r="G152" s="762"/>
      <c r="H152" s="146">
        <v>355</v>
      </c>
      <c r="I152" s="540" t="str">
        <f t="shared" si="66"/>
        <v>II</v>
      </c>
      <c r="J152" s="540" t="str">
        <f t="shared" si="67"/>
        <v>II</v>
      </c>
      <c r="K152" s="859"/>
      <c r="L152" s="146">
        <f t="shared" si="70"/>
        <v>354.8</v>
      </c>
      <c r="M152" s="540" t="str">
        <f t="shared" si="68"/>
        <v>II</v>
      </c>
      <c r="N152" s="540" t="str">
        <f t="shared" si="69"/>
        <v>II</v>
      </c>
      <c r="P152" s="753"/>
      <c r="Q152" s="753"/>
      <c r="R152" s="753"/>
      <c r="S152" s="753"/>
      <c r="T152" s="753"/>
      <c r="U152" s="753"/>
      <c r="V152" s="753"/>
      <c r="W152" s="753"/>
      <c r="X152" s="753"/>
      <c r="Y152" s="753"/>
      <c r="Z152" s="753"/>
      <c r="AA152" s="753"/>
      <c r="AB152" s="753"/>
      <c r="AC152" s="753"/>
      <c r="AD152" s="753"/>
      <c r="AE152" s="753"/>
      <c r="AF152" s="753"/>
      <c r="AG152" s="753"/>
      <c r="AH152" s="753"/>
    </row>
    <row r="153" spans="3:34">
      <c r="C153" s="762"/>
      <c r="D153" s="531"/>
      <c r="E153" s="586"/>
      <c r="F153" s="762"/>
      <c r="G153" s="762"/>
      <c r="H153" s="146">
        <v>413</v>
      </c>
      <c r="I153" s="540" t="str">
        <f t="shared" si="66"/>
        <v>III</v>
      </c>
      <c r="J153" s="540" t="str">
        <f t="shared" si="67"/>
        <v>III</v>
      </c>
      <c r="K153" s="859"/>
      <c r="L153" s="146">
        <f t="shared" si="70"/>
        <v>412.8</v>
      </c>
      <c r="M153" s="540" t="str">
        <f t="shared" si="68"/>
        <v>III</v>
      </c>
      <c r="N153" s="540" t="str">
        <f t="shared" si="69"/>
        <v>III</v>
      </c>
      <c r="P153" s="753"/>
      <c r="Q153" s="753"/>
      <c r="R153" s="753"/>
      <c r="S153" s="753"/>
      <c r="T153" s="753"/>
      <c r="U153" s="753"/>
      <c r="V153" s="753"/>
      <c r="W153" s="753"/>
      <c r="X153" s="753"/>
      <c r="Y153" s="753"/>
      <c r="Z153" s="753"/>
      <c r="AA153" s="753"/>
      <c r="AB153" s="753"/>
      <c r="AC153" s="753"/>
      <c r="AD153" s="753"/>
      <c r="AE153" s="753"/>
      <c r="AF153" s="753"/>
      <c r="AG153" s="753"/>
      <c r="AH153" s="753"/>
    </row>
    <row r="154" spans="3:34">
      <c r="C154" s="762"/>
      <c r="D154" s="531"/>
      <c r="E154" s="586"/>
      <c r="F154" s="762"/>
      <c r="G154" s="762"/>
      <c r="H154" s="145">
        <v>441.9</v>
      </c>
      <c r="I154" s="540" t="str">
        <f t="shared" si="66"/>
        <v>I юн</v>
      </c>
      <c r="J154" s="540" t="str">
        <f t="shared" si="67"/>
        <v>I юн</v>
      </c>
      <c r="K154" s="859"/>
      <c r="L154" s="146">
        <f t="shared" si="70"/>
        <v>441.7</v>
      </c>
      <c r="M154" s="540" t="str">
        <f t="shared" si="68"/>
        <v>I юн</v>
      </c>
      <c r="N154" s="540" t="str">
        <f t="shared" si="69"/>
        <v>I юн</v>
      </c>
      <c r="P154" s="753"/>
      <c r="Q154" s="753"/>
      <c r="R154" s="753"/>
      <c r="S154" s="753"/>
      <c r="T154" s="753"/>
      <c r="U154" s="753"/>
      <c r="V154" s="753"/>
      <c r="W154" s="753"/>
      <c r="X154" s="753"/>
      <c r="Y154" s="753"/>
      <c r="Z154" s="753"/>
      <c r="AA154" s="753"/>
      <c r="AB154" s="753"/>
      <c r="AC154" s="753"/>
      <c r="AD154" s="753"/>
      <c r="AE154" s="753"/>
      <c r="AF154" s="753"/>
      <c r="AG154" s="753"/>
      <c r="AH154" s="753"/>
    </row>
    <row r="155" spans="3:34">
      <c r="C155" s="762"/>
      <c r="D155" s="531"/>
      <c r="E155" s="586"/>
      <c r="F155" s="762"/>
      <c r="G155" s="762"/>
      <c r="H155" s="145">
        <v>507.8</v>
      </c>
      <c r="I155" s="540" t="str">
        <f t="shared" si="66"/>
        <v>II юн</v>
      </c>
      <c r="J155" s="540" t="str">
        <f t="shared" si="67"/>
        <v>II юн</v>
      </c>
      <c r="K155" s="859"/>
      <c r="L155" s="146">
        <f t="shared" si="70"/>
        <v>507.6</v>
      </c>
      <c r="M155" s="540" t="str">
        <f t="shared" si="68"/>
        <v>II юн</v>
      </c>
      <c r="N155" s="540" t="str">
        <f t="shared" si="69"/>
        <v>II юн</v>
      </c>
      <c r="P155" s="753"/>
      <c r="Q155" s="753"/>
      <c r="R155" s="753"/>
      <c r="S155" s="753"/>
      <c r="T155" s="753"/>
      <c r="U155" s="753"/>
      <c r="V155" s="753"/>
      <c r="W155" s="753"/>
      <c r="X155" s="753"/>
      <c r="Y155" s="753"/>
      <c r="Z155" s="753"/>
      <c r="AA155" s="753"/>
      <c r="AB155" s="753"/>
      <c r="AC155" s="753"/>
      <c r="AD155" s="753"/>
      <c r="AE155" s="753"/>
      <c r="AF155" s="753"/>
      <c r="AG155" s="753"/>
      <c r="AH155" s="753"/>
    </row>
    <row r="156" spans="3:34">
      <c r="C156" s="762"/>
      <c r="D156" s="531"/>
      <c r="E156" s="586"/>
      <c r="F156" s="762"/>
      <c r="G156" s="762"/>
      <c r="H156" s="145">
        <v>533.70000000000005</v>
      </c>
      <c r="I156" s="540" t="str">
        <f>IF(ISBLANK(H156)," ",IF(ISTEXT(H156)," ",IF(H156&lt;=304.2,"МСМК",IF(H156&lt;=314,"МС",IF(H156&lt;=322.2,"КМС",IF(H156&lt;=337,"I",IF(H156&lt;=355,"II",IF(H156&lt;=413,"III",IF(H156&lt;=441.9,"I юн",IF(H156&lt;=507.8,"II юн",IF(H156&lt;=533.7,"III юн","б/р")))))))))))</f>
        <v>III юн</v>
      </c>
      <c r="J156" s="540" t="str">
        <f>IF(ISBLANK(H156)," ",IF(ISTEXT(H156)," ",IF(H156&lt;=304.2,"МСМК",IF(H156&lt;=314,"МС",IF(H156&lt;=322.2,"КМС",IF(H156&lt;=337,"I",IF(H156&lt;=355,"II",IF(H156&lt;=413,"III",IF(H156&lt;=441.9,"I юн",IF(H156&lt;=507.8,"II юн",IF(H156&lt;=533.7,"III юн","б/р")))))))))))</f>
        <v>III юн</v>
      </c>
      <c r="K156" s="859"/>
      <c r="L156" s="146">
        <f t="shared" si="70"/>
        <v>533.5</v>
      </c>
      <c r="M156" s="540" t="str">
        <f t="shared" si="68"/>
        <v>III юн</v>
      </c>
      <c r="N156" s="540" t="str">
        <f t="shared" si="69"/>
        <v>III юн</v>
      </c>
      <c r="P156" s="753"/>
      <c r="Q156" s="753"/>
      <c r="R156" s="753"/>
      <c r="S156" s="753"/>
      <c r="T156" s="753"/>
      <c r="U156" s="753"/>
      <c r="V156" s="753"/>
      <c r="W156" s="753"/>
      <c r="X156" s="753"/>
      <c r="Y156" s="753"/>
      <c r="Z156" s="753"/>
      <c r="AA156" s="753"/>
      <c r="AB156" s="753"/>
      <c r="AC156" s="753"/>
      <c r="AD156" s="753"/>
      <c r="AE156" s="753"/>
      <c r="AF156" s="753"/>
      <c r="AG156" s="753"/>
      <c r="AH156" s="753"/>
    </row>
    <row r="157" spans="3:34">
      <c r="C157" s="1064"/>
      <c r="D157" s="531"/>
      <c r="E157" s="586"/>
      <c r="F157" s="1064"/>
      <c r="G157" s="1064"/>
      <c r="H157" s="145"/>
      <c r="I157" s="540"/>
      <c r="J157" s="540"/>
      <c r="K157" s="859"/>
      <c r="L157" s="146"/>
      <c r="M157" s="540"/>
      <c r="N157" s="540"/>
      <c r="P157" s="753"/>
      <c r="Q157" s="753"/>
      <c r="R157" s="753"/>
      <c r="S157" s="753"/>
      <c r="T157" s="753"/>
      <c r="U157" s="753"/>
      <c r="V157" s="753"/>
      <c r="W157" s="753"/>
      <c r="X157" s="753"/>
      <c r="Y157" s="753"/>
      <c r="Z157" s="753"/>
      <c r="AA157" s="753"/>
      <c r="AB157" s="753"/>
      <c r="AC157" s="753"/>
      <c r="AD157" s="753"/>
      <c r="AE157" s="753"/>
      <c r="AF157" s="753"/>
      <c r="AG157" s="753"/>
      <c r="AH157" s="753"/>
    </row>
    <row r="158" spans="3:34">
      <c r="C158" s="524" t="s">
        <v>1133</v>
      </c>
      <c r="D158" s="542"/>
      <c r="E158" s="542"/>
      <c r="F158" s="542"/>
      <c r="G158" s="542"/>
      <c r="H158" s="541"/>
      <c r="I158" s="541"/>
      <c r="J158" s="542"/>
      <c r="K158" s="860"/>
      <c r="P158" s="753"/>
      <c r="Q158" s="753"/>
      <c r="R158" s="753"/>
      <c r="S158" s="753"/>
      <c r="T158" s="753"/>
      <c r="U158" s="753"/>
      <c r="V158" s="753"/>
      <c r="W158" s="753"/>
      <c r="X158" s="753"/>
      <c r="Y158" s="753"/>
      <c r="Z158" s="753"/>
      <c r="AA158" s="753"/>
      <c r="AB158" s="753"/>
      <c r="AC158" s="753"/>
      <c r="AD158" s="753"/>
      <c r="AE158" s="753"/>
      <c r="AF158" s="753"/>
      <c r="AG158" s="753"/>
      <c r="AH158" s="753"/>
    </row>
    <row r="159" spans="3:34">
      <c r="C159" s="542"/>
      <c r="D159" s="542"/>
      <c r="E159" s="542"/>
      <c r="F159" s="542"/>
      <c r="G159" s="542"/>
      <c r="H159" s="532">
        <v>349</v>
      </c>
      <c r="I159" s="540" t="str">
        <f t="shared" ref="I159:I166" si="71">IF(ISBLANK(H159)," ",IF(ISTEXT(H159)," ",IF(H159&lt;=349,"МСМК",IF(H159&lt;=404.4,"МС",IF(H159&lt;=414.2,"КМС",IF(H159&lt;=430.2,"I",IF(H159&lt;=448.2,"II",IF(H159&lt;=508.2,"III",IF(H159&lt;=534.2,"I юн",IF(H159&lt;=601.2,"II юн",IF(H159&lt;=630.2,"III юн","б/р")))))))))))</f>
        <v>МСМК</v>
      </c>
      <c r="J159" s="540" t="str">
        <f t="shared" ref="J159:J166" si="72">IF(ISBLANK(H159)," ",IF(ISTEXT(H159)," ",IF(H159&lt;=349,"МСМК",IF(H159&lt;=404.4,"МС",IF(H159&lt;=414.2,"КМС",IF(H159&lt;=430.2,"I",IF(H159&lt;=448.2,"II",IF(H159&lt;=508.2,"III",IF(H159&lt;=534.2,"I юн",IF(H159&lt;=601.2,"II юн",IF(H159&lt;=630.2,"III юн","б/р")))))))))))</f>
        <v>МСМК</v>
      </c>
      <c r="K159" s="859"/>
      <c r="L159" s="749">
        <f>H159</f>
        <v>349</v>
      </c>
      <c r="M159" s="747" t="str">
        <f t="shared" ref="M159:M166" si="73">IF(ISBLANK(L159)," ",IF(ISTEXT(L159)," ",IF(L159&lt;=349,"МСМК",IF(L159&lt;=404.4,"МС",IF(L159&lt;=414,"КМС",IF(L159&lt;=430,"I",IF(L159&lt;=448,"II",IF(L159&lt;=508,"III",IF(L159&lt;=534,"I юн",IF(L159&lt;=601,"II юн",IF(L159&lt;=630,"III юн","б/р")))))))))))</f>
        <v>МСМК</v>
      </c>
      <c r="N159" s="747" t="str">
        <f t="shared" ref="N159:N166" si="74">IF(ISBLANK(L159)," ",IF(ISTEXT(L159)," ",IF(L159&lt;=349,"МСМК",IF(L159&lt;=404.4,"МС",IF(L159&lt;=414,"КМС",IF(L159&lt;=430,"I",IF(L159&lt;=448,"II",IF(L159&lt;=508,"III",IF(L159&lt;=534,"I юн",IF(L159&lt;=601,"II юн",IF(L159&lt;=630,"III юн","б/р")))))))))))</f>
        <v>МСМК</v>
      </c>
      <c r="O159" s="540"/>
      <c r="P159" s="753"/>
      <c r="Q159" s="753"/>
      <c r="R159" s="753"/>
      <c r="S159" s="753"/>
      <c r="T159" s="753"/>
      <c r="U159" s="753"/>
      <c r="V159" s="753"/>
      <c r="W159" s="753"/>
      <c r="X159" s="753"/>
      <c r="Y159" s="753"/>
      <c r="Z159" s="753"/>
      <c r="AA159" s="753"/>
      <c r="AB159" s="753"/>
      <c r="AC159" s="753"/>
      <c r="AD159" s="753"/>
      <c r="AE159" s="753"/>
      <c r="AF159" s="753"/>
      <c r="AG159" s="753"/>
      <c r="AH159" s="753"/>
    </row>
    <row r="160" spans="3:34">
      <c r="C160" s="542"/>
      <c r="D160" s="542"/>
      <c r="E160" s="542"/>
      <c r="F160" s="542"/>
      <c r="G160" s="542"/>
      <c r="H160" s="532">
        <v>404.4</v>
      </c>
      <c r="I160" s="540" t="str">
        <f t="shared" si="71"/>
        <v>МС</v>
      </c>
      <c r="J160" s="540" t="str">
        <f t="shared" si="72"/>
        <v>МС</v>
      </c>
      <c r="K160" s="859"/>
      <c r="L160" s="749">
        <f>H160</f>
        <v>404.4</v>
      </c>
      <c r="M160" s="747" t="str">
        <f t="shared" si="73"/>
        <v>МС</v>
      </c>
      <c r="N160" s="747" t="str">
        <f t="shared" si="74"/>
        <v>МС</v>
      </c>
      <c r="O160" s="540"/>
      <c r="P160" s="753"/>
      <c r="Q160" s="753"/>
      <c r="R160" s="753"/>
      <c r="S160" s="753"/>
      <c r="T160" s="753"/>
      <c r="U160" s="753"/>
      <c r="V160" s="753"/>
      <c r="W160" s="753"/>
      <c r="X160" s="753"/>
      <c r="Y160" s="753"/>
      <c r="Z160" s="753"/>
      <c r="AA160" s="753"/>
      <c r="AB160" s="753"/>
      <c r="AC160" s="753"/>
      <c r="AD160" s="753"/>
      <c r="AE160" s="753"/>
      <c r="AF160" s="753"/>
      <c r="AG160" s="753"/>
      <c r="AH160" s="753"/>
    </row>
    <row r="161" spans="3:34">
      <c r="C161" s="542"/>
      <c r="D161" s="542"/>
      <c r="E161" s="542"/>
      <c r="F161" s="542"/>
      <c r="G161" s="542"/>
      <c r="H161" s="532">
        <v>414.2</v>
      </c>
      <c r="I161" s="540" t="str">
        <f t="shared" si="71"/>
        <v>КМС</v>
      </c>
      <c r="J161" s="540" t="str">
        <f t="shared" si="72"/>
        <v>КМС</v>
      </c>
      <c r="K161" s="859"/>
      <c r="L161" s="532">
        <f>H161-0.2</f>
        <v>414</v>
      </c>
      <c r="M161" s="540" t="str">
        <f t="shared" si="73"/>
        <v>КМС</v>
      </c>
      <c r="N161" s="540" t="str">
        <f t="shared" si="74"/>
        <v>КМС</v>
      </c>
      <c r="O161" s="540"/>
      <c r="P161" s="753"/>
      <c r="Q161" s="753"/>
      <c r="R161" s="753"/>
      <c r="S161" s="753"/>
      <c r="T161" s="753"/>
      <c r="U161" s="753"/>
      <c r="V161" s="753"/>
      <c r="W161" s="753"/>
      <c r="X161" s="753"/>
      <c r="Y161" s="753"/>
      <c r="Z161" s="753"/>
      <c r="AA161" s="753"/>
      <c r="AB161" s="753"/>
      <c r="AC161" s="753"/>
      <c r="AD161" s="753"/>
      <c r="AE161" s="753"/>
      <c r="AF161" s="753"/>
      <c r="AG161" s="753"/>
      <c r="AH161" s="753"/>
    </row>
    <row r="162" spans="3:34">
      <c r="C162" s="542"/>
      <c r="D162" s="542"/>
      <c r="E162" s="542"/>
      <c r="F162" s="542"/>
      <c r="G162" s="542"/>
      <c r="H162" s="532">
        <v>430.2</v>
      </c>
      <c r="I162" s="540" t="str">
        <f t="shared" si="71"/>
        <v>I</v>
      </c>
      <c r="J162" s="540" t="str">
        <f t="shared" si="72"/>
        <v>I</v>
      </c>
      <c r="K162" s="859"/>
      <c r="L162" s="532">
        <f t="shared" ref="L162:L167" si="75">H162-0.2</f>
        <v>430</v>
      </c>
      <c r="M162" s="540" t="str">
        <f t="shared" si="73"/>
        <v>I</v>
      </c>
      <c r="N162" s="540" t="str">
        <f t="shared" si="74"/>
        <v>I</v>
      </c>
      <c r="O162" s="540"/>
      <c r="P162" s="753"/>
      <c r="Q162" s="753"/>
      <c r="R162" s="753"/>
      <c r="S162" s="753"/>
      <c r="T162" s="753"/>
      <c r="U162" s="753"/>
      <c r="V162" s="753"/>
      <c r="W162" s="753"/>
      <c r="X162" s="753"/>
      <c r="Y162" s="753"/>
      <c r="Z162" s="753"/>
      <c r="AA162" s="753"/>
      <c r="AB162" s="753"/>
      <c r="AC162" s="753"/>
      <c r="AD162" s="753"/>
      <c r="AE162" s="753"/>
      <c r="AF162" s="753"/>
      <c r="AG162" s="753"/>
      <c r="AH162" s="753"/>
    </row>
    <row r="163" spans="3:34">
      <c r="C163" s="542"/>
      <c r="D163" s="542"/>
      <c r="E163" s="542"/>
      <c r="F163" s="542"/>
      <c r="G163" s="542"/>
      <c r="H163" s="532">
        <v>448.2</v>
      </c>
      <c r="I163" s="540" t="str">
        <f t="shared" si="71"/>
        <v>II</v>
      </c>
      <c r="J163" s="540" t="str">
        <f t="shared" si="72"/>
        <v>II</v>
      </c>
      <c r="K163" s="859"/>
      <c r="L163" s="532">
        <f t="shared" si="75"/>
        <v>448</v>
      </c>
      <c r="M163" s="540" t="str">
        <f t="shared" si="73"/>
        <v>II</v>
      </c>
      <c r="N163" s="540" t="str">
        <f t="shared" si="74"/>
        <v>II</v>
      </c>
      <c r="O163" s="540"/>
      <c r="P163" s="753"/>
      <c r="Q163" s="753"/>
      <c r="R163" s="753"/>
      <c r="S163" s="753"/>
      <c r="T163" s="753"/>
      <c r="U163" s="753"/>
      <c r="V163" s="753"/>
      <c r="W163" s="753"/>
      <c r="X163" s="753"/>
      <c r="Y163" s="753"/>
      <c r="Z163" s="753"/>
      <c r="AA163" s="753"/>
      <c r="AB163" s="753"/>
      <c r="AC163" s="753"/>
      <c r="AD163" s="753"/>
      <c r="AE163" s="753"/>
      <c r="AF163" s="753"/>
      <c r="AG163" s="753"/>
      <c r="AH163" s="753"/>
    </row>
    <row r="164" spans="3:34">
      <c r="C164" s="542"/>
      <c r="D164" s="542"/>
      <c r="E164" s="542"/>
      <c r="F164" s="542"/>
      <c r="G164" s="542"/>
      <c r="H164" s="532">
        <v>508.2</v>
      </c>
      <c r="I164" s="540" t="str">
        <f t="shared" si="71"/>
        <v>III</v>
      </c>
      <c r="J164" s="540" t="str">
        <f t="shared" si="72"/>
        <v>III</v>
      </c>
      <c r="K164" s="859"/>
      <c r="L164" s="532">
        <f t="shared" si="75"/>
        <v>508</v>
      </c>
      <c r="M164" s="540" t="str">
        <f t="shared" si="73"/>
        <v>III</v>
      </c>
      <c r="N164" s="540" t="str">
        <f t="shared" si="74"/>
        <v>III</v>
      </c>
      <c r="O164" s="540"/>
      <c r="P164" s="753"/>
      <c r="Q164" s="753"/>
      <c r="R164" s="753"/>
      <c r="S164" s="753"/>
      <c r="T164" s="753"/>
      <c r="U164" s="753"/>
      <c r="V164" s="753"/>
      <c r="W164" s="753"/>
      <c r="X164" s="753"/>
      <c r="Y164" s="753"/>
      <c r="Z164" s="753"/>
      <c r="AA164" s="753"/>
      <c r="AB164" s="753"/>
      <c r="AC164" s="753"/>
      <c r="AD164" s="753"/>
      <c r="AE164" s="753"/>
      <c r="AF164" s="753"/>
      <c r="AG164" s="753"/>
      <c r="AH164" s="753"/>
    </row>
    <row r="165" spans="3:34">
      <c r="C165" s="542"/>
      <c r="D165" s="542"/>
      <c r="E165" s="542"/>
      <c r="F165" s="542"/>
      <c r="G165" s="542"/>
      <c r="H165" s="145">
        <v>534.20000000000005</v>
      </c>
      <c r="I165" s="540" t="str">
        <f t="shared" si="71"/>
        <v>I юн</v>
      </c>
      <c r="J165" s="540" t="str">
        <f t="shared" si="72"/>
        <v>I юн</v>
      </c>
      <c r="K165" s="859"/>
      <c r="L165" s="532">
        <f t="shared" si="75"/>
        <v>534</v>
      </c>
      <c r="M165" s="540" t="str">
        <f t="shared" si="73"/>
        <v>I юн</v>
      </c>
      <c r="N165" s="540" t="str">
        <f t="shared" si="74"/>
        <v>I юн</v>
      </c>
      <c r="O165" s="540"/>
      <c r="P165" s="753"/>
      <c r="Q165" s="753"/>
      <c r="R165" s="753"/>
      <c r="S165" s="753"/>
      <c r="T165" s="753"/>
      <c r="U165" s="753"/>
      <c r="V165" s="753"/>
      <c r="W165" s="753"/>
      <c r="X165" s="753"/>
      <c r="Y165" s="753"/>
      <c r="Z165" s="753"/>
      <c r="AA165" s="753"/>
      <c r="AB165" s="753"/>
      <c r="AC165" s="753"/>
      <c r="AD165" s="753"/>
      <c r="AE165" s="753"/>
      <c r="AF165" s="753"/>
      <c r="AG165" s="753"/>
      <c r="AH165" s="753"/>
    </row>
    <row r="166" spans="3:34">
      <c r="C166" s="542"/>
      <c r="D166" s="542"/>
      <c r="E166" s="542"/>
      <c r="F166" s="542"/>
      <c r="G166" s="542"/>
      <c r="H166" s="145">
        <v>601.20000000000005</v>
      </c>
      <c r="I166" s="540" t="str">
        <f t="shared" si="71"/>
        <v>II юн</v>
      </c>
      <c r="J166" s="540" t="str">
        <f t="shared" si="72"/>
        <v>II юн</v>
      </c>
      <c r="K166" s="859"/>
      <c r="L166" s="532">
        <f t="shared" si="75"/>
        <v>601</v>
      </c>
      <c r="M166" s="540" t="str">
        <f t="shared" si="73"/>
        <v>II юн</v>
      </c>
      <c r="N166" s="540" t="str">
        <f t="shared" si="74"/>
        <v>II юн</v>
      </c>
      <c r="O166" s="540"/>
      <c r="P166" s="753"/>
      <c r="Q166" s="753"/>
      <c r="R166" s="753"/>
      <c r="S166" s="753"/>
      <c r="T166" s="753"/>
      <c r="U166" s="753"/>
      <c r="V166" s="753"/>
      <c r="W166" s="753"/>
      <c r="X166" s="753"/>
      <c r="Y166" s="753"/>
      <c r="Z166" s="753"/>
      <c r="AA166" s="753"/>
      <c r="AB166" s="753"/>
      <c r="AC166" s="753"/>
      <c r="AD166" s="753"/>
      <c r="AE166" s="753"/>
      <c r="AF166" s="753"/>
      <c r="AG166" s="753"/>
      <c r="AH166" s="753"/>
    </row>
    <row r="167" spans="3:34">
      <c r="C167" s="542"/>
      <c r="D167" s="542"/>
      <c r="E167" s="542"/>
      <c r="F167" s="542"/>
      <c r="G167" s="542"/>
      <c r="H167" s="145">
        <v>630.20000000000005</v>
      </c>
      <c r="I167" s="540" t="str">
        <f>IF(ISBLANK(H167)," ",IF(ISTEXT(H167)," ",IF(H167&lt;=349,"МСМК",IF(H167&lt;=404.4,"МС",IF(H167&lt;=414.2,"КМС",IF(H167&lt;=430.2,"I",IF(H167&lt;=448.2,"II",IF(H167&lt;=508.2,"III",IF(H167&lt;=534.2,"I юн",IF(H167&lt;=601.2,"II юн",IF(H167&lt;=630.2,"III юн","б/р")))))))))))</f>
        <v>III юн</v>
      </c>
      <c r="J167" s="540" t="str">
        <f>IF(ISBLANK(H167)," ",IF(ISTEXT(H167)," ",IF(H167&lt;=349,"МСМК",IF(H167&lt;=404.4,"МС",IF(H167&lt;=414.2,"КМС",IF(H167&lt;=430.2,"I",IF(H167&lt;=448.2,"II",IF(H167&lt;=508.2,"III",IF(H167&lt;=534.2,"I юн",IF(H167&lt;=601.2,"II юн",IF(H167&lt;=630.2,"III юн","б/р")))))))))))</f>
        <v>III юн</v>
      </c>
      <c r="K167" s="859"/>
      <c r="L167" s="532">
        <f t="shared" si="75"/>
        <v>630</v>
      </c>
      <c r="M167" s="540" t="str">
        <f>IF(ISBLANK(L167)," ",IF(ISTEXT(L167)," ",IF(L167&lt;=349,"МСМК",IF(L167&lt;=404.4,"МС",IF(L167&lt;=414,"КМС",IF(L167&lt;=430,"I",IF(L167&lt;=448,"II",IF(L167&lt;=508,"III",IF(L167&lt;=534,"I юн",IF(L167&lt;=601,"II юн",IF(L167&lt;=630,"III юн","б/р")))))))))))</f>
        <v>III юн</v>
      </c>
      <c r="N167" s="540" t="str">
        <f>IF(ISBLANK(L167)," ",IF(ISTEXT(L167)," ",IF(L167&lt;=349,"МСМК",IF(L167&lt;=404.4,"МС",IF(L167&lt;=414,"КМС",IF(L167&lt;=430,"I",IF(L167&lt;=448,"II",IF(L167&lt;=508,"III",IF(L167&lt;=534,"I юн",IF(L167&lt;=601,"II юн",IF(L167&lt;=630,"III юн","б/р")))))))))))</f>
        <v>III юн</v>
      </c>
      <c r="O167" s="540"/>
      <c r="P167" s="753"/>
      <c r="Q167" s="753"/>
      <c r="R167" s="753"/>
      <c r="S167" s="753"/>
      <c r="T167" s="753"/>
      <c r="U167" s="753"/>
      <c r="V167" s="753"/>
      <c r="W167" s="753"/>
      <c r="X167" s="753"/>
      <c r="Y167" s="753"/>
      <c r="Z167" s="753"/>
      <c r="AA167" s="753"/>
      <c r="AB167" s="753"/>
      <c r="AC167" s="753"/>
      <c r="AD167" s="753"/>
      <c r="AE167" s="753"/>
      <c r="AF167" s="753"/>
      <c r="AG167" s="753"/>
      <c r="AH167" s="753"/>
    </row>
    <row r="168" spans="3:34">
      <c r="C168" s="542"/>
      <c r="D168" s="542"/>
      <c r="E168" s="542"/>
      <c r="F168" s="542"/>
      <c r="G168" s="542"/>
      <c r="H168" s="145"/>
      <c r="I168" s="540" t="str">
        <f>IF(ISBLANK(H168)," ",IF(ISTEXT(H168)," ",IF(H168&lt;=148.7,"МСМК",IF(H168&lt;=154.7,"МС",IF(H168&lt;=159.8,"КМС",IF(H168&lt;=208.6,"I",IF(H168&lt;=217.7,"II",IF(H168&lt;=229.7,"III","б/р"))))))))</f>
        <v xml:space="preserve"> </v>
      </c>
      <c r="J168" s="540" t="str">
        <f>IF(ISBLANK(H168)," ",IF(ISTEXT(H168)," ",IF(H168&lt;=148.7,"МСМК",IF(H168&lt;=154.7,"МС",IF(H168&lt;=159.8,"КМС",IF(H168&lt;=208.6,"I",IF(H168&lt;=217.7,"II",IF(H168&lt;=229.7,"III","б/р"))))))))</f>
        <v xml:space="preserve"> </v>
      </c>
      <c r="K168" s="859"/>
      <c r="P168" s="743"/>
      <c r="Q168" s="743"/>
      <c r="R168" s="743"/>
      <c r="S168" s="743"/>
      <c r="T168" s="743"/>
      <c r="U168" s="743"/>
      <c r="V168" s="743"/>
      <c r="W168" s="743"/>
      <c r="X168" s="743"/>
      <c r="Y168" s="743"/>
      <c r="Z168" s="743"/>
      <c r="AA168" s="743"/>
      <c r="AB168" s="743"/>
      <c r="AC168" s="743"/>
      <c r="AD168" s="743"/>
      <c r="AE168" s="743"/>
      <c r="AF168" s="743"/>
      <c r="AG168" s="743"/>
      <c r="AH168" s="753"/>
    </row>
    <row r="169" spans="3:34">
      <c r="C169" s="524" t="s">
        <v>1134</v>
      </c>
      <c r="D169" s="542"/>
      <c r="E169" s="542"/>
      <c r="F169" s="542"/>
      <c r="G169" s="542"/>
      <c r="H169" s="532"/>
      <c r="I169" s="541"/>
      <c r="J169" s="542"/>
      <c r="K169" s="860"/>
      <c r="P169" s="742"/>
      <c r="Q169" s="742"/>
      <c r="R169" s="742"/>
      <c r="S169" s="742"/>
      <c r="T169" s="742"/>
      <c r="U169" s="742"/>
      <c r="V169" s="742"/>
      <c r="W169" s="742"/>
      <c r="X169" s="742"/>
      <c r="Y169" s="742"/>
      <c r="Z169" s="742"/>
      <c r="AA169" s="742"/>
      <c r="AB169" s="742"/>
      <c r="AC169" s="742"/>
      <c r="AD169" s="742"/>
      <c r="AE169" s="742"/>
      <c r="AF169" s="742"/>
      <c r="AG169" s="742"/>
      <c r="AH169" s="753"/>
    </row>
    <row r="170" spans="3:34">
      <c r="C170" s="542"/>
      <c r="D170" s="542"/>
      <c r="E170" s="542"/>
      <c r="F170" s="542"/>
      <c r="G170" s="542"/>
      <c r="H170" s="532">
        <v>332.5</v>
      </c>
      <c r="I170" s="540" t="str">
        <f t="shared" ref="I170:I177" si="76">IF(ISBLANK(H170)," ",IF(ISTEXT(H170)," ",IF(H170&lt;=332.5,"МСМК",IF(H170&lt;=345.2,"МС",IF(H170&lt;=355.2,"КМС",IF(H170&lt;=410.2,"I",IF(H170&lt;=428.2,"II",IF(H170&lt;=448.2,"III",IF(H170&lt;=512.7,"I юн",IF(H170&lt;=538.7,"II юн",IF(H170&lt;=607.2,"III юн","б/р")))))))))))</f>
        <v>МСМК</v>
      </c>
      <c r="J170" s="540" t="str">
        <f t="shared" ref="J170:J177" si="77">IF(ISBLANK(H170)," ",IF(ISTEXT(H170)," ",IF(H170&lt;=332.5,"МСМК",IF(H170&lt;=345.2,"МС",IF(H170&lt;=355.2,"КМС",IF(H170&lt;=410.2,"I",IF(H170&lt;=428.2,"II",IF(H170&lt;=448.2,"III",IF(H170&lt;=512.7,"I юн",IF(H170&lt;=538.7,"II юн",IF(H170&lt;=607.2,"III юн","б/р")))))))))))</f>
        <v>МСМК</v>
      </c>
      <c r="K170" s="862"/>
      <c r="L170" s="749">
        <f>H170</f>
        <v>332.5</v>
      </c>
      <c r="M170" s="747" t="str">
        <f t="shared" ref="M170:M177" si="78">IF(ISBLANK(L170)," ",IF(ISTEXT(L170)," ",IF(L170&lt;=332.5,"МСМК",IF(L170&lt;=345.2,"МС",IF(L170&lt;=355,"КМС",IF(L170&lt;=410,"I",IF(L170&lt;=428,"II",IF(L170&lt;=448,"III",IF(L170&lt;=512.5,"I юн",IF(L170&lt;=538.5,"II юн",IF(L170&lt;=607,"III юн","б/р")))))))))))</f>
        <v>МСМК</v>
      </c>
      <c r="N170" s="747" t="str">
        <f t="shared" ref="N170:N177" si="79">IF(ISBLANK(L170)," ",IF(ISTEXT(L170)," ",IF(L170&lt;=332.5,"МСМК",IF(L170&lt;=345.2,"МС",IF(L170&lt;=355,"КМС",IF(L170&lt;=410,"I",IF(L170&lt;=428,"II",IF(L170&lt;=448,"III",IF(L170&lt;=512.5,"I юн",IF(L170&lt;=538.5,"II юн",IF(L170&lt;=607,"III юн","б/р")))))))))))</f>
        <v>МСМК</v>
      </c>
      <c r="O170" s="540"/>
      <c r="P170" s="753"/>
      <c r="Q170" s="753"/>
      <c r="R170" s="753"/>
      <c r="S170" s="753"/>
      <c r="T170" s="753"/>
      <c r="U170" s="753"/>
      <c r="V170" s="753"/>
      <c r="W170" s="753"/>
      <c r="X170" s="753"/>
      <c r="Y170" s="753"/>
      <c r="Z170" s="753"/>
      <c r="AA170" s="753"/>
      <c r="AB170" s="753"/>
      <c r="AC170" s="753"/>
      <c r="AD170" s="753"/>
      <c r="AE170" s="753"/>
      <c r="AF170" s="753"/>
      <c r="AG170" s="753"/>
      <c r="AH170" s="753"/>
    </row>
    <row r="171" spans="3:34">
      <c r="C171" s="542"/>
      <c r="D171" s="542"/>
      <c r="E171" s="542"/>
      <c r="F171" s="542"/>
      <c r="G171" s="542"/>
      <c r="H171" s="532">
        <v>345.2</v>
      </c>
      <c r="I171" s="540" t="str">
        <f t="shared" si="76"/>
        <v>МС</v>
      </c>
      <c r="J171" s="540" t="str">
        <f t="shared" si="77"/>
        <v>МС</v>
      </c>
      <c r="K171" s="862"/>
      <c r="L171" s="749">
        <f>H171</f>
        <v>345.2</v>
      </c>
      <c r="M171" s="747" t="str">
        <f t="shared" si="78"/>
        <v>МС</v>
      </c>
      <c r="N171" s="747" t="str">
        <f t="shared" si="79"/>
        <v>МС</v>
      </c>
      <c r="O171" s="540"/>
      <c r="P171" s="753"/>
      <c r="Q171" s="753"/>
      <c r="R171" s="753"/>
      <c r="S171" s="753"/>
      <c r="T171" s="753"/>
      <c r="U171" s="753"/>
      <c r="V171" s="753"/>
      <c r="W171" s="753"/>
      <c r="X171" s="753"/>
      <c r="Y171" s="753"/>
      <c r="Z171" s="753"/>
      <c r="AA171" s="753"/>
      <c r="AB171" s="753"/>
      <c r="AC171" s="753"/>
      <c r="AD171" s="753"/>
      <c r="AE171" s="753"/>
      <c r="AF171" s="753"/>
      <c r="AG171" s="753"/>
      <c r="AH171" s="753"/>
    </row>
    <row r="172" spans="3:34">
      <c r="C172" s="542"/>
      <c r="D172" s="542"/>
      <c r="E172" s="542"/>
      <c r="F172" s="542"/>
      <c r="G172" s="542"/>
      <c r="H172" s="532">
        <v>355.2</v>
      </c>
      <c r="I172" s="540" t="str">
        <f t="shared" si="76"/>
        <v>КМС</v>
      </c>
      <c r="J172" s="540" t="str">
        <f t="shared" si="77"/>
        <v>КМС</v>
      </c>
      <c r="K172" s="862"/>
      <c r="L172" s="532">
        <f>H172-0.2</f>
        <v>355</v>
      </c>
      <c r="M172" s="540" t="str">
        <f t="shared" si="78"/>
        <v>КМС</v>
      </c>
      <c r="N172" s="540" t="str">
        <f t="shared" si="79"/>
        <v>КМС</v>
      </c>
      <c r="O172" s="540"/>
      <c r="P172" s="753"/>
      <c r="Q172" s="753"/>
      <c r="R172" s="753"/>
      <c r="S172" s="753"/>
      <c r="T172" s="753"/>
      <c r="U172" s="753"/>
      <c r="V172" s="753"/>
      <c r="W172" s="753"/>
      <c r="X172" s="753"/>
      <c r="Y172" s="753"/>
      <c r="Z172" s="753"/>
      <c r="AA172" s="753"/>
      <c r="AB172" s="753"/>
      <c r="AC172" s="753"/>
      <c r="AD172" s="753"/>
      <c r="AE172" s="753"/>
      <c r="AF172" s="753"/>
      <c r="AG172" s="753"/>
      <c r="AH172" s="753"/>
    </row>
    <row r="173" spans="3:34">
      <c r="C173" s="542"/>
      <c r="D173" s="542"/>
      <c r="E173" s="542"/>
      <c r="F173" s="542"/>
      <c r="G173" s="542"/>
      <c r="H173" s="532">
        <v>410.2</v>
      </c>
      <c r="I173" s="540" t="str">
        <f t="shared" si="76"/>
        <v>I</v>
      </c>
      <c r="J173" s="540" t="str">
        <f t="shared" si="77"/>
        <v>I</v>
      </c>
      <c r="K173" s="862"/>
      <c r="L173" s="532">
        <f t="shared" ref="L173:L178" si="80">H173-0.2</f>
        <v>410</v>
      </c>
      <c r="M173" s="540" t="str">
        <f t="shared" si="78"/>
        <v>I</v>
      </c>
      <c r="N173" s="540" t="str">
        <f t="shared" si="79"/>
        <v>I</v>
      </c>
      <c r="O173" s="540"/>
      <c r="P173" s="753"/>
      <c r="Q173" s="753"/>
      <c r="R173" s="753"/>
      <c r="S173" s="753"/>
      <c r="T173" s="753"/>
      <c r="U173" s="753"/>
      <c r="V173" s="753"/>
      <c r="W173" s="753"/>
      <c r="X173" s="753"/>
      <c r="Y173" s="753"/>
      <c r="Z173" s="753"/>
      <c r="AA173" s="753"/>
      <c r="AB173" s="753"/>
      <c r="AC173" s="753"/>
      <c r="AD173" s="753"/>
      <c r="AE173" s="753"/>
      <c r="AF173" s="753"/>
      <c r="AG173" s="753"/>
      <c r="AH173" s="753"/>
    </row>
    <row r="174" spans="3:34">
      <c r="C174" s="542"/>
      <c r="D174" s="542"/>
      <c r="E174" s="542"/>
      <c r="F174" s="542"/>
      <c r="G174" s="542"/>
      <c r="H174" s="532">
        <v>428.2</v>
      </c>
      <c r="I174" s="540" t="str">
        <f t="shared" si="76"/>
        <v>II</v>
      </c>
      <c r="J174" s="540" t="str">
        <f t="shared" si="77"/>
        <v>II</v>
      </c>
      <c r="K174" s="862"/>
      <c r="L174" s="532">
        <f t="shared" si="80"/>
        <v>428</v>
      </c>
      <c r="M174" s="540" t="str">
        <f t="shared" si="78"/>
        <v>II</v>
      </c>
      <c r="N174" s="540" t="str">
        <f t="shared" si="79"/>
        <v>II</v>
      </c>
      <c r="O174" s="540"/>
      <c r="P174" s="753"/>
      <c r="Q174" s="753"/>
      <c r="R174" s="753"/>
      <c r="S174" s="753"/>
      <c r="T174" s="753"/>
      <c r="U174" s="753"/>
      <c r="V174" s="753"/>
      <c r="W174" s="753"/>
      <c r="X174" s="753"/>
      <c r="Y174" s="753"/>
      <c r="Z174" s="753"/>
      <c r="AA174" s="753"/>
      <c r="AB174" s="753"/>
      <c r="AC174" s="753"/>
      <c r="AD174" s="753"/>
      <c r="AE174" s="753"/>
      <c r="AF174" s="753"/>
      <c r="AG174" s="753"/>
      <c r="AH174" s="753"/>
    </row>
    <row r="175" spans="3:34">
      <c r="C175" s="542"/>
      <c r="D175" s="542"/>
      <c r="E175" s="542"/>
      <c r="F175" s="542"/>
      <c r="G175" s="542"/>
      <c r="H175" s="532">
        <v>448.2</v>
      </c>
      <c r="I175" s="540" t="str">
        <f t="shared" si="76"/>
        <v>III</v>
      </c>
      <c r="J175" s="540" t="str">
        <f t="shared" si="77"/>
        <v>III</v>
      </c>
      <c r="K175" s="862"/>
      <c r="L175" s="532">
        <f t="shared" si="80"/>
        <v>448</v>
      </c>
      <c r="M175" s="540" t="str">
        <f t="shared" si="78"/>
        <v>III</v>
      </c>
      <c r="N175" s="540" t="str">
        <f t="shared" si="79"/>
        <v>III</v>
      </c>
      <c r="O175" s="540"/>
      <c r="P175" s="753"/>
      <c r="Q175" s="753"/>
      <c r="R175" s="753"/>
      <c r="S175" s="753"/>
      <c r="T175" s="753"/>
      <c r="U175" s="753"/>
      <c r="V175" s="753"/>
      <c r="W175" s="753"/>
      <c r="X175" s="753"/>
      <c r="Y175" s="753"/>
      <c r="Z175" s="753"/>
      <c r="AA175" s="753"/>
      <c r="AB175" s="753"/>
      <c r="AC175" s="753"/>
      <c r="AD175" s="753"/>
      <c r="AE175" s="753"/>
      <c r="AF175" s="753"/>
      <c r="AG175" s="753"/>
      <c r="AH175" s="753"/>
    </row>
    <row r="176" spans="3:34">
      <c r="C176" s="542"/>
      <c r="D176" s="542"/>
      <c r="E176" s="542"/>
      <c r="F176" s="542"/>
      <c r="G176" s="542"/>
      <c r="H176" s="145">
        <v>512.70000000000005</v>
      </c>
      <c r="I176" s="540" t="str">
        <f t="shared" si="76"/>
        <v>I юн</v>
      </c>
      <c r="J176" s="540" t="str">
        <f t="shared" si="77"/>
        <v>I юн</v>
      </c>
      <c r="K176" s="862"/>
      <c r="L176" s="532">
        <f t="shared" si="80"/>
        <v>512.5</v>
      </c>
      <c r="M176" s="540" t="str">
        <f t="shared" si="78"/>
        <v>I юн</v>
      </c>
      <c r="N176" s="540" t="str">
        <f t="shared" si="79"/>
        <v>I юн</v>
      </c>
      <c r="O176" s="540"/>
      <c r="P176" s="753"/>
      <c r="Q176" s="753"/>
      <c r="R176" s="753"/>
      <c r="S176" s="753"/>
      <c r="T176" s="753"/>
      <c r="U176" s="753"/>
      <c r="V176" s="753"/>
      <c r="W176" s="753"/>
      <c r="X176" s="753"/>
      <c r="Y176" s="753"/>
      <c r="Z176" s="753"/>
      <c r="AA176" s="753"/>
      <c r="AB176" s="753"/>
      <c r="AC176" s="753"/>
      <c r="AD176" s="753"/>
      <c r="AE176" s="753"/>
      <c r="AF176" s="753"/>
      <c r="AG176" s="753"/>
      <c r="AH176" s="753"/>
    </row>
    <row r="177" spans="3:34">
      <c r="C177" s="542"/>
      <c r="D177" s="542"/>
      <c r="E177" s="542"/>
      <c r="F177" s="542"/>
      <c r="G177" s="542"/>
      <c r="H177" s="145">
        <v>538.70000000000005</v>
      </c>
      <c r="I177" s="540" t="str">
        <f t="shared" si="76"/>
        <v>II юн</v>
      </c>
      <c r="J177" s="540" t="str">
        <f t="shared" si="77"/>
        <v>II юн</v>
      </c>
      <c r="K177" s="862"/>
      <c r="L177" s="532">
        <f t="shared" si="80"/>
        <v>538.5</v>
      </c>
      <c r="M177" s="540" t="str">
        <f t="shared" si="78"/>
        <v>II юн</v>
      </c>
      <c r="N177" s="540" t="str">
        <f t="shared" si="79"/>
        <v>II юн</v>
      </c>
      <c r="O177" s="540"/>
      <c r="P177" s="753"/>
      <c r="Q177" s="753"/>
      <c r="R177" s="753"/>
      <c r="S177" s="753"/>
      <c r="T177" s="753"/>
      <c r="U177" s="753"/>
      <c r="V177" s="753"/>
      <c r="W177" s="753"/>
      <c r="X177" s="753"/>
      <c r="Y177" s="753"/>
      <c r="Z177" s="753"/>
      <c r="AA177" s="753"/>
      <c r="AB177" s="753"/>
      <c r="AC177" s="753"/>
      <c r="AD177" s="753"/>
      <c r="AE177" s="753"/>
      <c r="AF177" s="753"/>
      <c r="AG177" s="753"/>
      <c r="AH177" s="753"/>
    </row>
    <row r="178" spans="3:34">
      <c r="C178" s="542"/>
      <c r="D178" s="542"/>
      <c r="E178" s="542"/>
      <c r="F178" s="542"/>
      <c r="G178" s="542"/>
      <c r="H178" s="145">
        <v>607.20000000000005</v>
      </c>
      <c r="I178" s="540" t="str">
        <f>IF(ISBLANK(H178)," ",IF(ISTEXT(H178)," ",IF(H178&lt;=332.5,"МСМК",IF(H178&lt;=345.2,"МС",IF(H178&lt;=355.2,"КМС",IF(H178&lt;=410.2,"I",IF(H178&lt;=428.2,"II",IF(H178&lt;=448.2,"III",IF(H178&lt;=512.7,"I юн",IF(H178&lt;=538.7,"II юн",IF(H178&lt;=607.2,"III юн","б/р")))))))))))</f>
        <v>III юн</v>
      </c>
      <c r="J178" s="540" t="str">
        <f>IF(ISBLANK(H178)," ",IF(ISTEXT(H178)," ",IF(H178&lt;=332.5,"МСМК",IF(H178&lt;=345.2,"МС",IF(H178&lt;=355.2,"КМС",IF(H178&lt;=410.2,"I",IF(H178&lt;=428.2,"II",IF(H178&lt;=448.2,"III",IF(H178&lt;=512.7,"I юн",IF(H178&lt;=538.7,"II юн",IF(H178&lt;=607.2,"III юн","б/р")))))))))))</f>
        <v>III юн</v>
      </c>
      <c r="K178" s="862"/>
      <c r="L178" s="532">
        <f t="shared" si="80"/>
        <v>607</v>
      </c>
      <c r="M178" s="540" t="str">
        <f>IF(ISBLANK(L178)," ",IF(ISTEXT(L178)," ",IF(L178&lt;=332.5,"МСМК",IF(L178&lt;=345.2,"МС",IF(L178&lt;=355,"КМС",IF(L178&lt;=410,"I",IF(L178&lt;=428,"II",IF(L178&lt;=448,"III",IF(L178&lt;=512.5,"I юн",IF(L178&lt;=538.5,"II юн",IF(L178&lt;=607,"III юн","б/р")))))))))))</f>
        <v>III юн</v>
      </c>
      <c r="N178" s="540" t="str">
        <f>IF(ISBLANK(L178)," ",IF(ISTEXT(L178)," ",IF(L178&lt;=332.5,"МСМК",IF(L178&lt;=345.2,"МС",IF(L178&lt;=355,"КМС",IF(L178&lt;=410,"I",IF(L178&lt;=428,"II",IF(L178&lt;=448,"III",IF(L178&lt;=512.5,"I юн",IF(L178&lt;=538.5,"II юн",IF(L178&lt;=607,"III юн","б/р")))))))))))</f>
        <v>III юн</v>
      </c>
      <c r="O178" s="540"/>
    </row>
    <row r="179" spans="3:34">
      <c r="C179" s="542"/>
      <c r="D179" s="542"/>
      <c r="E179" s="542"/>
      <c r="F179" s="542"/>
      <c r="G179" s="542"/>
      <c r="H179" s="145"/>
      <c r="I179" s="540" t="str">
        <f>IF(ISBLANK(H179)," ",IF(ISTEXT(H179)," ",IF(H179&lt;=138.4,"МСМК",IF(H179&lt;=143.1,"МС",IF(H179&lt;=148.2,"КМС",IF(H179&lt;=156,"I",IF(H179&lt;=205.2,"II",IF(H179&lt;=216.2,"III","б/р"))))))))</f>
        <v xml:space="preserve"> </v>
      </c>
      <c r="J179" s="540" t="str">
        <f>IF(ISBLANK(H179)," ",IF(ISTEXT(H179)," ",IF(H179&lt;=138.4,"МСМК",IF(H179&lt;=143.1,"МС",IF(H179&lt;=148.2,"КМС",IF(H179&lt;=156,"I",IF(H179&lt;=205.2,"II",IF(H179&lt;=216.2,"III","б/р"))))))))</f>
        <v xml:space="preserve"> </v>
      </c>
      <c r="K179" s="862"/>
      <c r="M179" s="540" t="str">
        <f>IF(ISBLANK(L179)," ",IF(ISTEXT(L179)," ",IF(L179&lt;=148.2,"КМС",IF(L179&lt;=156.1,"I",IF(L179&lt;=206,"II",IF(L179&lt;=216.8,"III",IF(L179&lt;=226.6,"I юн",IF(L179&lt;=243.3,"II юн",IF(L179&lt;=257,"III юн","б/р")))))))))</f>
        <v xml:space="preserve"> </v>
      </c>
      <c r="N179" s="540" t="str">
        <f>IF(ISBLANK(L179)," ",IF(ISTEXT(L179)," ",IF(L179&lt;=148.2,"КМС",IF(L179&lt;=156.1,"I",IF(L179&lt;=206,"II",IF(L179&lt;=216.8,"III",IF(L179&lt;=226.6,"I юн",IF(L179&lt;=243.3,"II юн",IF(L179&lt;=257,"III юн","б/р")))))))))</f>
        <v xml:space="preserve"> </v>
      </c>
      <c r="O179" s="540"/>
    </row>
    <row r="180" spans="3:34">
      <c r="C180" s="524" t="s">
        <v>131</v>
      </c>
      <c r="D180" s="525"/>
      <c r="E180" s="526"/>
      <c r="F180" s="524"/>
      <c r="G180" s="524"/>
      <c r="H180" s="527"/>
      <c r="I180" s="532"/>
      <c r="J180" s="524"/>
      <c r="K180" s="861"/>
      <c r="P180" s="753"/>
      <c r="Q180" s="753"/>
      <c r="R180" s="753"/>
      <c r="S180" s="753"/>
      <c r="T180" s="753"/>
      <c r="U180" s="753"/>
      <c r="V180" s="753"/>
      <c r="W180" s="753"/>
      <c r="X180" s="753"/>
      <c r="Y180" s="753"/>
      <c r="Z180" s="753"/>
      <c r="AA180" s="753"/>
      <c r="AB180" s="753"/>
      <c r="AC180" s="753"/>
      <c r="AD180" s="753"/>
      <c r="AE180" s="753"/>
      <c r="AF180" s="753"/>
      <c r="AG180" s="753"/>
      <c r="AH180" s="753"/>
    </row>
    <row r="181" spans="3:34">
      <c r="C181" s="762"/>
      <c r="D181" s="531"/>
      <c r="E181" s="586"/>
      <c r="F181" s="762"/>
      <c r="G181" s="762"/>
      <c r="H181" s="532">
        <v>705.2</v>
      </c>
      <c r="I181" s="540" t="str">
        <f t="shared" ref="I181:I188" si="81">IF(ISBLANK(H181)," ",IF(ISTEXT(H181)," ",IF(H181&lt;=705.2,"МСМК",IF(H181&lt;=725.7,"МС",IF(H181&lt;=748.2,"КМС",IF(H181&lt;=820.7,"I",IF(H181&lt;=902.7,"II",IF(H181&lt;=944.7,"III",IF(H181&lt;=1038.7,"I юн",IF(H181&lt;=1142.2,"II юн",IF(H181&lt;=1236.7,"III юн","б/р")))))))))))</f>
        <v>МСМК</v>
      </c>
      <c r="J181" s="540" t="str">
        <f t="shared" ref="J181:J188" si="82">IF(ISBLANK(H181)," ",IF(ISTEXT(H181)," ",IF(H181&lt;=705.2,"МСМК",IF(H181&lt;=725.7,"МС",IF(H181&lt;=748.2,"КМС",IF(H181&lt;=820.7,"I",IF(H181&lt;=902.7,"II",IF(H181&lt;=944.7,"III",IF(H181&lt;=1038.7,"I юн",IF(H181&lt;=1142.2,"II юн",IF(H181&lt;=1236.7,"III юн","б/р")))))))))))</f>
        <v>МСМК</v>
      </c>
      <c r="K181" s="859"/>
      <c r="L181" s="749">
        <f>H181</f>
        <v>705.2</v>
      </c>
      <c r="M181" s="747" t="str">
        <f>IF(ISBLANK(L181)," ",IF(ISTEXT(L181)," ",IF(L181&lt;=705.2,"МСМК",IF(L181&lt;=725.7,"МС",IF(L181&lt;=748,"КМС",IF(L181&lt;=820.5,"I",IF(L181&lt;=902.5,"II",IF(L181&lt;=944.5,"III",IF(L181&lt;=1038.5,"I юн",IF(L181&lt;=1142,"II юн",IF(L181&lt;=1236.5,"III юн","б/р")))))))))))</f>
        <v>МСМК</v>
      </c>
      <c r="N181" s="747" t="str">
        <f>IF(ISBLANK(L181)," ",IF(ISTEXT(L181)," ",IF(L181&lt;=705.2,"МСМК",IF(L181&lt;=725.7,"МС",IF(L181&lt;=748,"КМС",IF(L181&lt;=820.5,"I",IF(L181&lt;=902.5,"II",IF(L181&lt;=944.5,"III",IF(L181&lt;=1038.5,"I юн",IF(L181&lt;=1142,"II юн",IF(L181&lt;=1236.5,"III юн","б/р")))))))))))</f>
        <v>МСМК</v>
      </c>
      <c r="P181" s="753"/>
      <c r="Q181" s="753"/>
      <c r="R181" s="753"/>
      <c r="S181" s="753"/>
      <c r="T181" s="753"/>
      <c r="U181" s="753"/>
      <c r="V181" s="753"/>
      <c r="W181" s="753"/>
      <c r="X181" s="753"/>
      <c r="Y181" s="753"/>
      <c r="Z181" s="753"/>
      <c r="AA181" s="753"/>
      <c r="AB181" s="753"/>
      <c r="AC181" s="753"/>
      <c r="AD181" s="753"/>
      <c r="AE181" s="753"/>
      <c r="AF181" s="753"/>
      <c r="AG181" s="753"/>
      <c r="AH181" s="753"/>
    </row>
    <row r="182" spans="3:34">
      <c r="C182" s="762"/>
      <c r="D182" s="531"/>
      <c r="E182" s="586"/>
      <c r="F182" s="762"/>
      <c r="G182" s="762"/>
      <c r="H182" s="532">
        <v>725.7</v>
      </c>
      <c r="I182" s="540" t="str">
        <f t="shared" si="81"/>
        <v>МС</v>
      </c>
      <c r="J182" s="540" t="str">
        <f t="shared" si="82"/>
        <v>МС</v>
      </c>
      <c r="K182" s="859"/>
      <c r="L182" s="749">
        <f>H182</f>
        <v>725.7</v>
      </c>
      <c r="M182" s="747" t="str">
        <f t="shared" ref="M182:M189" si="83">IF(ISBLANK(L182)," ",IF(ISTEXT(L182)," ",IF(L182&lt;=705.2,"МСМК",IF(L182&lt;=725.7,"МС",IF(L182&lt;=748,"КМС",IF(L182&lt;=820.5,"I",IF(L182&lt;=902.5,"II",IF(L182&lt;=944.5,"III",IF(L182&lt;=1038.5,"I юн",IF(L182&lt;=1142,"II юн",IF(L182&lt;=1236.5,"III юн","б/р")))))))))))</f>
        <v>МС</v>
      </c>
      <c r="N182" s="747" t="str">
        <f t="shared" ref="N182:N189" si="84">IF(ISBLANK(L182)," ",IF(ISTEXT(L182)," ",IF(L182&lt;=705.2,"МСМК",IF(L182&lt;=725.7,"МС",IF(L182&lt;=748,"КМС",IF(L182&lt;=820.5,"I",IF(L182&lt;=902.5,"II",IF(L182&lt;=944.5,"III",IF(L182&lt;=1038.5,"I юн",IF(L182&lt;=1142,"II юн",IF(L182&lt;=1236.5,"III юн","б/р")))))))))))</f>
        <v>МС</v>
      </c>
      <c r="P182" s="753"/>
      <c r="Q182" s="753"/>
      <c r="R182" s="753"/>
      <c r="S182" s="753"/>
      <c r="T182" s="753"/>
      <c r="U182" s="753"/>
      <c r="V182" s="753"/>
      <c r="W182" s="753"/>
      <c r="X182" s="753"/>
      <c r="Y182" s="753"/>
      <c r="Z182" s="753"/>
      <c r="AA182" s="753"/>
      <c r="AB182" s="753"/>
      <c r="AC182" s="753"/>
      <c r="AD182" s="753"/>
      <c r="AE182" s="753"/>
      <c r="AF182" s="753"/>
      <c r="AG182" s="753"/>
      <c r="AH182" s="753"/>
    </row>
    <row r="183" spans="3:34">
      <c r="C183" s="762"/>
      <c r="D183" s="531"/>
      <c r="E183" s="586"/>
      <c r="F183" s="762"/>
      <c r="G183" s="762"/>
      <c r="H183" s="532">
        <v>748.2</v>
      </c>
      <c r="I183" s="540" t="str">
        <f t="shared" si="81"/>
        <v>КМС</v>
      </c>
      <c r="J183" s="540" t="str">
        <f t="shared" si="82"/>
        <v>КМС</v>
      </c>
      <c r="K183" s="859"/>
      <c r="L183" s="532">
        <f>H183-0.2</f>
        <v>748</v>
      </c>
      <c r="M183" s="540" t="str">
        <f t="shared" si="83"/>
        <v>КМС</v>
      </c>
      <c r="N183" s="540" t="str">
        <f t="shared" si="84"/>
        <v>КМС</v>
      </c>
      <c r="P183" s="753"/>
      <c r="Q183" s="753"/>
      <c r="R183" s="753"/>
      <c r="S183" s="753"/>
      <c r="T183" s="753"/>
      <c r="U183" s="753"/>
      <c r="V183" s="753"/>
      <c r="W183" s="753"/>
      <c r="X183" s="753"/>
      <c r="Y183" s="753"/>
      <c r="Z183" s="753"/>
      <c r="AA183" s="753"/>
      <c r="AB183" s="753"/>
      <c r="AC183" s="753"/>
      <c r="AD183" s="753"/>
      <c r="AE183" s="753"/>
      <c r="AF183" s="753"/>
      <c r="AG183" s="753"/>
      <c r="AH183" s="753"/>
    </row>
    <row r="184" spans="3:34">
      <c r="C184" s="762"/>
      <c r="D184" s="531"/>
      <c r="E184" s="586"/>
      <c r="F184" s="762"/>
      <c r="G184" s="762"/>
      <c r="H184" s="532">
        <v>820.7</v>
      </c>
      <c r="I184" s="540" t="str">
        <f t="shared" si="81"/>
        <v>I</v>
      </c>
      <c r="J184" s="540" t="str">
        <f t="shared" si="82"/>
        <v>I</v>
      </c>
      <c r="K184" s="859"/>
      <c r="L184" s="532">
        <f t="shared" ref="L184:L189" si="85">H184-0.2</f>
        <v>820.5</v>
      </c>
      <c r="M184" s="540" t="str">
        <f t="shared" si="83"/>
        <v>I</v>
      </c>
      <c r="N184" s="540" t="str">
        <f t="shared" si="84"/>
        <v>I</v>
      </c>
      <c r="P184" s="753"/>
      <c r="Q184" s="753"/>
      <c r="R184" s="753"/>
      <c r="S184" s="753"/>
      <c r="T184" s="753"/>
      <c r="U184" s="753"/>
      <c r="V184" s="753"/>
      <c r="W184" s="753"/>
      <c r="X184" s="753"/>
      <c r="Y184" s="753"/>
      <c r="Z184" s="753"/>
      <c r="AA184" s="753"/>
      <c r="AB184" s="753"/>
      <c r="AC184" s="753"/>
      <c r="AD184" s="753"/>
      <c r="AE184" s="753"/>
      <c r="AF184" s="753"/>
      <c r="AG184" s="753"/>
      <c r="AH184" s="753"/>
    </row>
    <row r="185" spans="3:34">
      <c r="C185" s="762"/>
      <c r="D185" s="531"/>
      <c r="E185" s="586"/>
      <c r="F185" s="762"/>
      <c r="G185" s="762"/>
      <c r="H185" s="532">
        <v>902.7</v>
      </c>
      <c r="I185" s="540" t="str">
        <f t="shared" si="81"/>
        <v>II</v>
      </c>
      <c r="J185" s="540" t="str">
        <f t="shared" si="82"/>
        <v>II</v>
      </c>
      <c r="K185" s="859"/>
      <c r="L185" s="532">
        <f t="shared" si="85"/>
        <v>902.5</v>
      </c>
      <c r="M185" s="540" t="str">
        <f t="shared" si="83"/>
        <v>II</v>
      </c>
      <c r="N185" s="540" t="str">
        <f t="shared" si="84"/>
        <v>II</v>
      </c>
      <c r="P185" s="753"/>
      <c r="Q185" s="753"/>
      <c r="R185" s="753"/>
      <c r="S185" s="753"/>
      <c r="T185" s="753"/>
      <c r="U185" s="753"/>
      <c r="V185" s="753"/>
      <c r="W185" s="753"/>
      <c r="X185" s="753"/>
      <c r="Y185" s="753"/>
      <c r="Z185" s="753"/>
      <c r="AA185" s="753"/>
      <c r="AB185" s="753"/>
      <c r="AC185" s="753"/>
      <c r="AD185" s="753"/>
      <c r="AE185" s="753"/>
      <c r="AF185" s="753"/>
      <c r="AG185" s="753"/>
      <c r="AH185" s="753"/>
    </row>
    <row r="186" spans="3:34">
      <c r="C186" s="762"/>
      <c r="D186" s="531"/>
      <c r="E186" s="586"/>
      <c r="F186" s="762"/>
      <c r="G186" s="762"/>
      <c r="H186" s="532">
        <v>944.7</v>
      </c>
      <c r="I186" s="540" t="str">
        <f t="shared" si="81"/>
        <v>III</v>
      </c>
      <c r="J186" s="540" t="str">
        <f t="shared" si="82"/>
        <v>III</v>
      </c>
      <c r="K186" s="859"/>
      <c r="L186" s="532">
        <f t="shared" si="85"/>
        <v>944.5</v>
      </c>
      <c r="M186" s="540" t="str">
        <f t="shared" si="83"/>
        <v>III</v>
      </c>
      <c r="N186" s="540" t="str">
        <f t="shared" si="84"/>
        <v>III</v>
      </c>
      <c r="P186" s="753"/>
      <c r="Q186" s="753"/>
      <c r="R186" s="753"/>
      <c r="S186" s="753"/>
      <c r="T186" s="753"/>
      <c r="U186" s="753"/>
      <c r="V186" s="753"/>
      <c r="W186" s="753"/>
      <c r="X186" s="753"/>
      <c r="Y186" s="753"/>
      <c r="Z186" s="753"/>
      <c r="AA186" s="753"/>
      <c r="AB186" s="753"/>
      <c r="AC186" s="753"/>
      <c r="AD186" s="753"/>
      <c r="AE186" s="753"/>
      <c r="AF186" s="753"/>
      <c r="AG186" s="753"/>
      <c r="AH186" s="753"/>
    </row>
    <row r="187" spans="3:34">
      <c r="C187" s="762"/>
      <c r="D187" s="531"/>
      <c r="E187" s="586"/>
      <c r="F187" s="762"/>
      <c r="G187" s="762"/>
      <c r="H187" s="145">
        <v>1038.7</v>
      </c>
      <c r="I187" s="540" t="str">
        <f t="shared" si="81"/>
        <v>I юн</v>
      </c>
      <c r="J187" s="540" t="str">
        <f t="shared" si="82"/>
        <v>I юн</v>
      </c>
      <c r="K187" s="859"/>
      <c r="L187" s="532">
        <f t="shared" si="85"/>
        <v>1038.5</v>
      </c>
      <c r="M187" s="540" t="str">
        <f t="shared" si="83"/>
        <v>I юн</v>
      </c>
      <c r="N187" s="540" t="str">
        <f t="shared" si="84"/>
        <v>I юн</v>
      </c>
      <c r="P187" s="753"/>
      <c r="Q187" s="753"/>
      <c r="R187" s="753"/>
      <c r="S187" s="753"/>
      <c r="T187" s="753"/>
      <c r="U187" s="753"/>
      <c r="V187" s="753"/>
      <c r="W187" s="753"/>
      <c r="X187" s="753"/>
      <c r="Y187" s="753"/>
      <c r="Z187" s="753"/>
      <c r="AA187" s="753"/>
      <c r="AB187" s="753"/>
      <c r="AC187" s="753"/>
      <c r="AD187" s="753"/>
      <c r="AE187" s="753"/>
      <c r="AF187" s="753"/>
      <c r="AG187" s="753"/>
      <c r="AH187" s="753"/>
    </row>
    <row r="188" spans="3:34">
      <c r="C188" s="762"/>
      <c r="D188" s="531"/>
      <c r="E188" s="586"/>
      <c r="F188" s="762"/>
      <c r="G188" s="762"/>
      <c r="H188" s="145">
        <v>1142.2</v>
      </c>
      <c r="I188" s="540" t="str">
        <f t="shared" si="81"/>
        <v>II юн</v>
      </c>
      <c r="J188" s="540" t="str">
        <f t="shared" si="82"/>
        <v>II юн</v>
      </c>
      <c r="K188" s="859"/>
      <c r="L188" s="532">
        <f t="shared" si="85"/>
        <v>1142</v>
      </c>
      <c r="M188" s="540" t="str">
        <f t="shared" si="83"/>
        <v>II юн</v>
      </c>
      <c r="N188" s="540" t="str">
        <f t="shared" si="84"/>
        <v>II юн</v>
      </c>
      <c r="P188" s="753"/>
      <c r="Q188" s="753"/>
      <c r="R188" s="753"/>
      <c r="S188" s="753"/>
      <c r="T188" s="753"/>
      <c r="U188" s="753"/>
      <c r="V188" s="753"/>
      <c r="W188" s="753"/>
      <c r="X188" s="753"/>
      <c r="Y188" s="753"/>
      <c r="Z188" s="753"/>
      <c r="AA188" s="753"/>
      <c r="AB188" s="753"/>
      <c r="AC188" s="753"/>
      <c r="AD188" s="753"/>
      <c r="AE188" s="753"/>
      <c r="AF188" s="753"/>
      <c r="AG188" s="753"/>
      <c r="AH188" s="753"/>
    </row>
    <row r="189" spans="3:34">
      <c r="C189" s="762"/>
      <c r="D189" s="531"/>
      <c r="E189" s="586"/>
      <c r="F189" s="762"/>
      <c r="G189" s="762"/>
      <c r="H189" s="145">
        <v>1236.7</v>
      </c>
      <c r="I189" s="540" t="str">
        <f>IF(ISBLANK(H189)," ",IF(ISTEXT(H189)," ",IF(H189&lt;=705.2,"МСМК",IF(H189&lt;=725.7,"МС",IF(H189&lt;=748.2,"КМС",IF(H189&lt;=820.7,"I",IF(H189&lt;=902.7,"II",IF(H189&lt;=944.7,"III",IF(H189&lt;=1038.7,"I юн",IF(H189&lt;=1142.2,"II юн",IF(H189&lt;=1236.7,"III юн","б/р")))))))))))</f>
        <v>III юн</v>
      </c>
      <c r="J189" s="540" t="str">
        <f>IF(ISBLANK(H189)," ",IF(ISTEXT(H189)," ",IF(H189&lt;=705.2,"МСМК",IF(H189&lt;=725.7,"МС",IF(H189&lt;=748.2,"КМС",IF(H189&lt;=820.7,"I",IF(H189&lt;=902.7,"II",IF(H189&lt;=944.7,"III",IF(H189&lt;=1038.7,"I юн",IF(H189&lt;=1142.2,"II юн",IF(H189&lt;=1236.7,"III юн","б/р")))))))))))</f>
        <v>III юн</v>
      </c>
      <c r="K189" s="859"/>
      <c r="L189" s="532">
        <f t="shared" si="85"/>
        <v>1236.5</v>
      </c>
      <c r="M189" s="540" t="str">
        <f t="shared" si="83"/>
        <v>III юн</v>
      </c>
      <c r="N189" s="540" t="str">
        <f t="shared" si="84"/>
        <v>III юн</v>
      </c>
      <c r="P189" s="753"/>
      <c r="Q189" s="753"/>
      <c r="R189" s="753"/>
      <c r="S189" s="753"/>
      <c r="T189" s="753"/>
      <c r="U189" s="753"/>
      <c r="V189" s="753"/>
      <c r="W189" s="753"/>
      <c r="X189" s="753"/>
      <c r="Y189" s="753"/>
      <c r="Z189" s="753"/>
      <c r="AA189" s="753"/>
      <c r="AB189" s="753"/>
      <c r="AC189" s="753"/>
      <c r="AD189" s="753"/>
      <c r="AE189" s="753"/>
      <c r="AF189" s="753"/>
      <c r="AG189" s="753"/>
      <c r="AH189" s="753"/>
    </row>
    <row r="190" spans="3:34">
      <c r="C190" s="762"/>
      <c r="D190" s="531"/>
      <c r="E190" s="586"/>
      <c r="F190" s="762"/>
      <c r="G190" s="762"/>
      <c r="H190" s="532"/>
      <c r="I190" s="540" t="str">
        <f>IF(ISBLANK(H190)," ",IF(ISTEXT(H190)," ",IF(H190&lt;=707.1,"МСМК",IF(H190&lt;=728.5,"МС",IF(H190&lt;=750,"КМС",IF(H190&lt;=824,"I",IF(H190&lt;=906.5,"II",IF(H190&lt;=953.5,"III",IF(H190&lt;=1049,"I юн",IF(H190&lt;=1150,"II юн",IF(H190&lt;=1248.5,"III юн","б/р")))))))))))</f>
        <v xml:space="preserve"> </v>
      </c>
      <c r="J190" s="531" t="str">
        <f>IF(ISBLANK(H190)," ",IF(ISTEXT(H190)," ",IF(H190&lt;=707.1,"МСМК",IF(H190&lt;=728.5,"МС",IF(H190&lt;=750,"КМС",IF(H190&lt;=824,"I",IF(H190&lt;=906.5,"II",IF(H190&lt;=953.5,"III",IF(H190&lt;=1049,"I юн",IF(H190&lt;=1150,"II юн",IF(H190&lt;=1248.5,"III юн","б/р")))))))))))</f>
        <v xml:space="preserve"> </v>
      </c>
      <c r="K190" s="859"/>
      <c r="P190" s="743"/>
      <c r="Q190" s="743"/>
      <c r="R190" s="743"/>
      <c r="S190" s="743"/>
      <c r="T190" s="743"/>
      <c r="U190" s="743"/>
      <c r="V190" s="743"/>
      <c r="W190" s="743"/>
      <c r="X190" s="743"/>
      <c r="Y190" s="743"/>
      <c r="Z190" s="743"/>
      <c r="AA190" s="743"/>
      <c r="AB190" s="743"/>
      <c r="AC190" s="743"/>
      <c r="AD190" s="743"/>
      <c r="AE190" s="743"/>
      <c r="AF190" s="743"/>
      <c r="AG190" s="743"/>
      <c r="AH190" s="753"/>
    </row>
    <row r="191" spans="3:34">
      <c r="C191" s="524" t="s">
        <v>132</v>
      </c>
      <c r="D191" s="525"/>
      <c r="E191" s="526"/>
      <c r="F191" s="524"/>
      <c r="G191" s="524"/>
      <c r="H191" s="527"/>
      <c r="I191" s="532"/>
      <c r="J191" s="542"/>
      <c r="K191" s="860"/>
      <c r="P191" s="742"/>
      <c r="Q191" s="742"/>
      <c r="R191" s="742"/>
      <c r="S191" s="742"/>
      <c r="T191" s="742"/>
      <c r="U191" s="742"/>
      <c r="V191" s="742"/>
      <c r="W191" s="742"/>
      <c r="X191" s="742"/>
      <c r="Y191" s="742"/>
      <c r="Z191" s="742"/>
      <c r="AA191" s="742"/>
      <c r="AB191" s="742"/>
      <c r="AC191" s="742"/>
      <c r="AD191" s="742"/>
      <c r="AE191" s="742"/>
      <c r="AF191" s="742"/>
      <c r="AG191" s="742"/>
      <c r="AH191" s="753"/>
    </row>
    <row r="192" spans="3:34">
      <c r="C192" s="762"/>
      <c r="D192" s="531"/>
      <c r="E192" s="586"/>
      <c r="F192" s="762"/>
      <c r="G192" s="762"/>
      <c r="H192" s="532">
        <v>634.70000000000005</v>
      </c>
      <c r="I192" s="540" t="str">
        <f t="shared" ref="I192:I199" si="86">IF(ISBLANK(H192)," ",IF(ISTEXT(H192)," ",IF(H192&lt;=634.7,"МСМК",IF(H192&lt;=652.2,"МС",IF(H192&lt;=714.7,"КМС",IF(H192&lt;=736.2,"I",IF(H192&lt;=825.2,"II",IF(H192&lt;=905.4,"III",IF(H192&lt;=955.2,"I юн",IF(H192&lt;=1054.2,"II юн",IF(H192&lt;=1150.7,"III юн","б/р")))))))))))</f>
        <v>МСМК</v>
      </c>
      <c r="J192" s="540" t="str">
        <f t="shared" ref="J192:J199" si="87">IF(ISBLANK(H192)," ",IF(ISTEXT(H192)," ",IF(H192&lt;=634.7,"МСМК",IF(H192&lt;=652.2,"МС",IF(H192&lt;=714.7,"КМС",IF(H192&lt;=736.2,"I",IF(H192&lt;=825.2,"II",IF(H192&lt;=905.4,"III",IF(H192&lt;=955.2,"I юн",IF(H192&lt;=1054.2,"II юн",IF(H192&lt;=1150.7,"III юн","б/р")))))))))))</f>
        <v>МСМК</v>
      </c>
      <c r="K192" s="859"/>
      <c r="L192" s="749">
        <f>H192</f>
        <v>634.70000000000005</v>
      </c>
      <c r="M192" s="747" t="str">
        <f>IF(ISBLANK(L192)," ",IF(ISTEXT(L192)," ",IF(L192&lt;=634.7,"МСМК",IF(L192&lt;=652.2,"МС",IF(L192&lt;=714.5,"КМС",IF(L192&lt;=736,"I",IF(L192&lt;=825,"II",IF(L192&lt;=905.2,"III",IF(L192&lt;=955,"I юн",IF(L192&lt;=1054,"II юн",IF(L192&lt;=1150.5,"III юн","б/р")))))))))))</f>
        <v>МСМК</v>
      </c>
      <c r="N192" s="747" t="str">
        <f>IF(ISBLANK(L192)," ",IF(ISTEXT(L192)," ",IF(L192&lt;=634.7,"МСМК",IF(L192&lt;=652.2,"МС",IF(L192&lt;=714.5,"КМС",IF(L192&lt;=736,"I",IF(L192&lt;=825,"II",IF(L192&lt;=905.2,"III",IF(L192&lt;=955,"I юн",IF(L192&lt;=1054,"II юн",IF(L192&lt;=1150.5,"III юн","б/р")))))))))))</f>
        <v>МСМК</v>
      </c>
      <c r="P192" s="753"/>
      <c r="Q192" s="753"/>
      <c r="R192" s="753"/>
      <c r="S192" s="753"/>
      <c r="T192" s="753"/>
      <c r="U192" s="753"/>
      <c r="V192" s="753"/>
      <c r="W192" s="753"/>
      <c r="X192" s="753"/>
      <c r="Y192" s="753"/>
      <c r="Z192" s="753"/>
      <c r="AA192" s="753"/>
      <c r="AB192" s="753"/>
      <c r="AC192" s="753"/>
      <c r="AD192" s="753"/>
      <c r="AE192" s="753"/>
      <c r="AF192" s="753"/>
      <c r="AG192" s="753"/>
      <c r="AH192" s="753"/>
    </row>
    <row r="193" spans="3:34">
      <c r="C193" s="762"/>
      <c r="D193" s="531"/>
      <c r="E193" s="586"/>
      <c r="F193" s="762"/>
      <c r="G193" s="762"/>
      <c r="H193" s="532">
        <v>652.20000000000005</v>
      </c>
      <c r="I193" s="540" t="str">
        <f t="shared" si="86"/>
        <v>МС</v>
      </c>
      <c r="J193" s="540" t="str">
        <f t="shared" si="87"/>
        <v>МС</v>
      </c>
      <c r="K193" s="859"/>
      <c r="L193" s="749">
        <f>H193</f>
        <v>652.20000000000005</v>
      </c>
      <c r="M193" s="747" t="str">
        <f t="shared" ref="M193:M200" si="88">IF(ISBLANK(L193)," ",IF(ISTEXT(L193)," ",IF(L193&lt;=634.7,"МСМК",IF(L193&lt;=652.2,"МС",IF(L193&lt;=714.5,"КМС",IF(L193&lt;=736,"I",IF(L193&lt;=825,"II",IF(L193&lt;=905.2,"III",IF(L193&lt;=955,"I юн",IF(L193&lt;=1054,"II юн",IF(L193&lt;=1150.5,"III юн","б/р")))))))))))</f>
        <v>МС</v>
      </c>
      <c r="N193" s="747" t="str">
        <f t="shared" ref="N193:N200" si="89">IF(ISBLANK(L193)," ",IF(ISTEXT(L193)," ",IF(L193&lt;=634.7,"МСМК",IF(L193&lt;=652.2,"МС",IF(L193&lt;=714.5,"КМС",IF(L193&lt;=736,"I",IF(L193&lt;=825,"II",IF(L193&lt;=905.2,"III",IF(L193&lt;=955,"I юн",IF(L193&lt;=1054,"II юн",IF(L193&lt;=1150.5,"III юн","б/р")))))))))))</f>
        <v>МС</v>
      </c>
      <c r="P193" s="753"/>
      <c r="Q193" s="753"/>
      <c r="R193" s="753"/>
      <c r="S193" s="753"/>
      <c r="T193" s="753"/>
      <c r="U193" s="753"/>
      <c r="V193" s="753"/>
      <c r="W193" s="753"/>
      <c r="X193" s="753"/>
      <c r="Y193" s="753"/>
      <c r="Z193" s="753"/>
      <c r="AA193" s="753"/>
      <c r="AB193" s="753"/>
      <c r="AC193" s="753"/>
      <c r="AD193" s="753"/>
      <c r="AE193" s="753"/>
      <c r="AF193" s="753"/>
      <c r="AG193" s="753"/>
      <c r="AH193" s="753"/>
    </row>
    <row r="194" spans="3:34">
      <c r="C194" s="762"/>
      <c r="D194" s="531"/>
      <c r="E194" s="586"/>
      <c r="F194" s="762"/>
      <c r="G194" s="762"/>
      <c r="H194" s="532">
        <v>714.7</v>
      </c>
      <c r="I194" s="540" t="str">
        <f t="shared" si="86"/>
        <v>КМС</v>
      </c>
      <c r="J194" s="540" t="str">
        <f t="shared" si="87"/>
        <v>КМС</v>
      </c>
      <c r="K194" s="859"/>
      <c r="L194" s="532">
        <f>H194-0.2</f>
        <v>714.5</v>
      </c>
      <c r="M194" s="540" t="str">
        <f t="shared" si="88"/>
        <v>КМС</v>
      </c>
      <c r="N194" s="540" t="str">
        <f t="shared" si="89"/>
        <v>КМС</v>
      </c>
      <c r="P194" s="753"/>
      <c r="Q194" s="753"/>
      <c r="R194" s="753"/>
      <c r="S194" s="753"/>
      <c r="T194" s="753"/>
      <c r="U194" s="753"/>
      <c r="V194" s="753"/>
      <c r="W194" s="753"/>
      <c r="X194" s="753"/>
      <c r="Y194" s="753"/>
      <c r="Z194" s="753"/>
      <c r="AA194" s="753"/>
      <c r="AB194" s="753"/>
      <c r="AC194" s="753"/>
      <c r="AD194" s="753"/>
      <c r="AE194" s="753"/>
      <c r="AF194" s="753"/>
      <c r="AG194" s="753"/>
      <c r="AH194" s="753"/>
    </row>
    <row r="195" spans="3:34">
      <c r="C195" s="762"/>
      <c r="D195" s="531"/>
      <c r="E195" s="586"/>
      <c r="F195" s="762"/>
      <c r="G195" s="762"/>
      <c r="H195" s="532">
        <v>736.2</v>
      </c>
      <c r="I195" s="540" t="str">
        <f t="shared" si="86"/>
        <v>I</v>
      </c>
      <c r="J195" s="540" t="str">
        <f t="shared" si="87"/>
        <v>I</v>
      </c>
      <c r="K195" s="859"/>
      <c r="L195" s="532">
        <f t="shared" ref="L195:L200" si="90">H195-0.2</f>
        <v>736</v>
      </c>
      <c r="M195" s="540" t="str">
        <f t="shared" si="88"/>
        <v>I</v>
      </c>
      <c r="N195" s="540" t="str">
        <f t="shared" si="89"/>
        <v>I</v>
      </c>
      <c r="P195" s="753"/>
      <c r="Q195" s="753"/>
      <c r="R195" s="753"/>
      <c r="S195" s="753"/>
      <c r="T195" s="753"/>
      <c r="U195" s="753"/>
      <c r="V195" s="753"/>
      <c r="W195" s="753"/>
      <c r="X195" s="753"/>
      <c r="Y195" s="753"/>
      <c r="Z195" s="753"/>
      <c r="AA195" s="753"/>
      <c r="AB195" s="753"/>
      <c r="AC195" s="753"/>
      <c r="AD195" s="753"/>
      <c r="AE195" s="753"/>
      <c r="AF195" s="753"/>
      <c r="AG195" s="753"/>
      <c r="AH195" s="753"/>
    </row>
    <row r="196" spans="3:34">
      <c r="C196" s="762"/>
      <c r="D196" s="531"/>
      <c r="E196" s="586"/>
      <c r="F196" s="762"/>
      <c r="G196" s="762"/>
      <c r="H196" s="532">
        <v>825.2</v>
      </c>
      <c r="I196" s="540" t="str">
        <f t="shared" si="86"/>
        <v>II</v>
      </c>
      <c r="J196" s="540" t="str">
        <f t="shared" si="87"/>
        <v>II</v>
      </c>
      <c r="K196" s="859"/>
      <c r="L196" s="532">
        <f t="shared" si="90"/>
        <v>825</v>
      </c>
      <c r="M196" s="540" t="str">
        <f t="shared" si="88"/>
        <v>II</v>
      </c>
      <c r="N196" s="540" t="str">
        <f t="shared" si="89"/>
        <v>II</v>
      </c>
      <c r="P196" s="753"/>
      <c r="Q196" s="753"/>
      <c r="R196" s="753"/>
      <c r="S196" s="753"/>
      <c r="T196" s="753"/>
      <c r="U196" s="753"/>
      <c r="V196" s="753"/>
      <c r="W196" s="753"/>
      <c r="X196" s="753"/>
      <c r="Y196" s="753"/>
      <c r="Z196" s="753"/>
      <c r="AA196" s="753"/>
      <c r="AB196" s="753"/>
      <c r="AC196" s="753"/>
      <c r="AD196" s="753"/>
      <c r="AE196" s="753"/>
      <c r="AF196" s="753"/>
      <c r="AG196" s="753"/>
      <c r="AH196" s="753"/>
    </row>
    <row r="197" spans="3:34">
      <c r="C197" s="762"/>
      <c r="D197" s="531"/>
      <c r="E197" s="586"/>
      <c r="F197" s="762"/>
      <c r="G197" s="762"/>
      <c r="H197" s="532">
        <v>905.4</v>
      </c>
      <c r="I197" s="540" t="str">
        <f t="shared" si="86"/>
        <v>III</v>
      </c>
      <c r="J197" s="540" t="str">
        <f t="shared" si="87"/>
        <v>III</v>
      </c>
      <c r="K197" s="859"/>
      <c r="L197" s="532">
        <f t="shared" si="90"/>
        <v>905.19999999999993</v>
      </c>
      <c r="M197" s="540" t="str">
        <f t="shared" si="88"/>
        <v>III</v>
      </c>
      <c r="N197" s="540" t="str">
        <f t="shared" si="89"/>
        <v>III</v>
      </c>
      <c r="P197" s="753"/>
      <c r="Q197" s="753"/>
      <c r="R197" s="753"/>
      <c r="S197" s="753"/>
      <c r="T197" s="753"/>
      <c r="U197" s="753"/>
      <c r="V197" s="753"/>
      <c r="W197" s="753"/>
      <c r="X197" s="753"/>
      <c r="Y197" s="753"/>
      <c r="Z197" s="753"/>
      <c r="AA197" s="753"/>
      <c r="AB197" s="753"/>
      <c r="AC197" s="753"/>
      <c r="AD197" s="753"/>
      <c r="AE197" s="753"/>
      <c r="AF197" s="753"/>
      <c r="AG197" s="753"/>
      <c r="AH197" s="753"/>
    </row>
    <row r="198" spans="3:34">
      <c r="C198" s="762"/>
      <c r="D198" s="531"/>
      <c r="E198" s="586"/>
      <c r="F198" s="762"/>
      <c r="G198" s="762"/>
      <c r="H198" s="145">
        <v>955.2</v>
      </c>
      <c r="I198" s="540" t="str">
        <f t="shared" si="86"/>
        <v>I юн</v>
      </c>
      <c r="J198" s="540" t="str">
        <f t="shared" si="87"/>
        <v>I юн</v>
      </c>
      <c r="K198" s="859"/>
      <c r="L198" s="532">
        <f t="shared" si="90"/>
        <v>955</v>
      </c>
      <c r="M198" s="540" t="str">
        <f t="shared" si="88"/>
        <v>I юн</v>
      </c>
      <c r="N198" s="540" t="str">
        <f t="shared" si="89"/>
        <v>I юн</v>
      </c>
      <c r="P198" s="753"/>
      <c r="Q198" s="753"/>
      <c r="R198" s="753"/>
      <c r="S198" s="753"/>
      <c r="T198" s="753"/>
      <c r="U198" s="753"/>
      <c r="V198" s="753"/>
      <c r="W198" s="753"/>
      <c r="X198" s="753"/>
      <c r="Y198" s="753"/>
      <c r="Z198" s="753"/>
      <c r="AA198" s="753"/>
      <c r="AB198" s="753"/>
      <c r="AC198" s="753"/>
      <c r="AD198" s="753"/>
      <c r="AE198" s="753"/>
      <c r="AF198" s="753"/>
      <c r="AG198" s="753"/>
      <c r="AH198" s="753"/>
    </row>
    <row r="199" spans="3:34">
      <c r="C199" s="762"/>
      <c r="D199" s="531"/>
      <c r="E199" s="586"/>
      <c r="F199" s="762"/>
      <c r="G199" s="762"/>
      <c r="H199" s="145">
        <v>1054.2</v>
      </c>
      <c r="I199" s="540" t="str">
        <f t="shared" si="86"/>
        <v>II юн</v>
      </c>
      <c r="J199" s="540" t="str">
        <f t="shared" si="87"/>
        <v>II юн</v>
      </c>
      <c r="K199" s="859"/>
      <c r="L199" s="532">
        <f t="shared" si="90"/>
        <v>1054</v>
      </c>
      <c r="M199" s="540" t="str">
        <f t="shared" si="88"/>
        <v>II юн</v>
      </c>
      <c r="N199" s="540" t="str">
        <f t="shared" si="89"/>
        <v>II юн</v>
      </c>
      <c r="P199" s="753"/>
      <c r="Q199" s="753"/>
      <c r="R199" s="753"/>
      <c r="S199" s="753"/>
      <c r="T199" s="753"/>
      <c r="U199" s="753"/>
      <c r="V199" s="753"/>
      <c r="W199" s="753"/>
      <c r="X199" s="753"/>
      <c r="Y199" s="753"/>
      <c r="Z199" s="753"/>
      <c r="AA199" s="753"/>
      <c r="AB199" s="753"/>
      <c r="AC199" s="753"/>
      <c r="AD199" s="753"/>
      <c r="AE199" s="753"/>
      <c r="AF199" s="753"/>
      <c r="AG199" s="753"/>
      <c r="AH199" s="753"/>
    </row>
    <row r="200" spans="3:34">
      <c r="C200" s="762"/>
      <c r="D200" s="531"/>
      <c r="E200" s="586"/>
      <c r="F200" s="762"/>
      <c r="G200" s="762"/>
      <c r="H200" s="145">
        <v>1150.7</v>
      </c>
      <c r="I200" s="540" t="str">
        <f>IF(ISBLANK(H200)," ",IF(ISTEXT(H200)," ",IF(H200&lt;=634.7,"МСМК",IF(H200&lt;=652.2,"МС",IF(H200&lt;=714.7,"КМС",IF(H200&lt;=736.2,"I",IF(H200&lt;=825.2,"II",IF(H200&lt;=905.4,"III",IF(H200&lt;=955.2,"I юн",IF(H200&lt;=1054.2,"II юн",IF(H200&lt;=1150.7,"III юн","б/р")))))))))))</f>
        <v>III юн</v>
      </c>
      <c r="J200" s="540" t="str">
        <f>IF(ISBLANK(H200)," ",IF(ISTEXT(H200)," ",IF(H200&lt;=634.7,"МСМК",IF(H200&lt;=652.2,"МС",IF(H200&lt;=714.7,"КМС",IF(H200&lt;=736.2,"I",IF(H200&lt;=825.2,"II",IF(H200&lt;=905.4,"III",IF(H200&lt;=955.2,"I юн",IF(H200&lt;=1054.2,"II юн",IF(H200&lt;=1150.7,"III юн","б/р")))))))))))</f>
        <v>III юн</v>
      </c>
      <c r="K200" s="859"/>
      <c r="L200" s="532">
        <f t="shared" si="90"/>
        <v>1150.5</v>
      </c>
      <c r="M200" s="540" t="str">
        <f t="shared" si="88"/>
        <v>III юн</v>
      </c>
      <c r="N200" s="540" t="str">
        <f t="shared" si="89"/>
        <v>III юн</v>
      </c>
      <c r="P200" s="753"/>
      <c r="Q200" s="753"/>
      <c r="R200" s="753"/>
      <c r="S200" s="753"/>
      <c r="T200" s="753"/>
      <c r="U200" s="753"/>
      <c r="V200" s="753"/>
      <c r="W200" s="753"/>
      <c r="X200" s="753"/>
      <c r="Y200" s="753"/>
      <c r="Z200" s="753"/>
      <c r="AA200" s="753"/>
      <c r="AB200" s="753"/>
      <c r="AC200" s="753"/>
      <c r="AD200" s="753"/>
      <c r="AE200" s="753"/>
      <c r="AF200" s="753"/>
      <c r="AG200" s="753"/>
      <c r="AH200" s="753"/>
    </row>
    <row r="201" spans="3:34">
      <c r="C201" s="762"/>
      <c r="D201" s="531"/>
      <c r="E201" s="586"/>
      <c r="F201" s="762"/>
      <c r="G201" s="762"/>
      <c r="H201" s="532"/>
      <c r="I201" s="540" t="str">
        <f>IF(ISBLANK(H201)," ",IF(ISTEXT(H201)," ",IF(H201&lt;=636.9,"МСМК",IF(H201&lt;=654,"МС",IF(H201&lt;=716.5,"КМС",IF(H201&lt;=738,"I",IF(H201&lt;=828,"II",IF(H201&lt;=912,"III",IF(H201&lt;=1005,"I юн",IF(H201&lt;=1059,"II юн",IF(H201&lt;=1155,"III юн","б/р")))))))))))</f>
        <v xml:space="preserve"> </v>
      </c>
      <c r="J201" s="531" t="str">
        <f>IF(ISBLANK(H201)," ",IF(ISTEXT(H201)," ",IF(H201&lt;=636.9,"МСМК",IF(H201&lt;=654,"МС",IF(H201&lt;=716.5,"КМС",IF(H201&lt;=738,"I",IF(H201&lt;=828,"II",IF(H201&lt;=912,"III",IF(H201&lt;=1005,"I юн",IF(H201&lt;=1059,"II юн",IF(H201&lt;=1155,"III юн","б/р")))))))))))</f>
        <v xml:space="preserve"> </v>
      </c>
      <c r="K201" s="859"/>
      <c r="P201" s="753"/>
      <c r="Q201" s="753"/>
      <c r="R201" s="753"/>
      <c r="S201" s="753"/>
      <c r="T201" s="753"/>
      <c r="U201" s="753"/>
      <c r="V201" s="753"/>
      <c r="W201" s="753"/>
      <c r="X201" s="753"/>
      <c r="Y201" s="753"/>
      <c r="Z201" s="753"/>
      <c r="AA201" s="753"/>
      <c r="AB201" s="753"/>
      <c r="AC201" s="753"/>
      <c r="AD201" s="753"/>
      <c r="AE201" s="753"/>
      <c r="AF201" s="753"/>
      <c r="AG201" s="753"/>
      <c r="AH201" s="753"/>
    </row>
    <row r="202" spans="3:34">
      <c r="C202" s="524" t="s">
        <v>133</v>
      </c>
      <c r="D202" s="525"/>
      <c r="E202" s="526"/>
      <c r="F202" s="524"/>
      <c r="G202" s="524"/>
      <c r="H202" s="527"/>
      <c r="I202" s="532"/>
      <c r="J202" s="524"/>
      <c r="K202" s="861"/>
      <c r="P202" s="753"/>
      <c r="Q202" s="753"/>
      <c r="R202" s="753"/>
      <c r="S202" s="753"/>
      <c r="T202" s="753"/>
      <c r="U202" s="753"/>
      <c r="V202" s="753"/>
      <c r="W202" s="753"/>
      <c r="X202" s="753"/>
      <c r="Y202" s="753"/>
      <c r="Z202" s="753"/>
      <c r="AA202" s="753"/>
      <c r="AB202" s="753"/>
      <c r="AC202" s="753"/>
      <c r="AD202" s="753"/>
      <c r="AE202" s="753"/>
      <c r="AF202" s="753"/>
      <c r="AG202" s="753"/>
      <c r="AH202" s="753"/>
    </row>
    <row r="203" spans="3:34">
      <c r="C203" s="762"/>
      <c r="D203" s="531"/>
      <c r="E203" s="586"/>
      <c r="F203" s="762"/>
      <c r="G203" s="762"/>
      <c r="H203" s="532">
        <v>1339.2</v>
      </c>
      <c r="I203" s="540" t="str">
        <f t="shared" ref="I203:I208" si="91">IF(ISBLANK(H203)," ",IF(ISTEXT(H203)," ",IF(H203&lt;=1339.2,"МСМК",IF(H203&lt;=1418.2,"МС",IF(H203&lt;=1458.7,"КМС",IF(H203&lt;=1600.2,"I",IF(H203&lt;=1724.7,"II",IF(H203&lt;=1850.2,"III","б/р"))))))))</f>
        <v>МСМК</v>
      </c>
      <c r="J203" s="540" t="str">
        <f t="shared" ref="J203:J208" si="92">IF(ISBLANK(H203)," ",IF(ISTEXT(H203)," ",IF(H203&lt;=1339.2,"МСМК",IF(H203&lt;=1418.2,"МС",IF(H203&lt;=1458.7,"КМС",IF(H203&lt;=1600.2,"I",IF(H203&lt;=1724.7,"II",IF(H203&lt;=1850.2,"III","б/р"))))))))</f>
        <v>МСМК</v>
      </c>
      <c r="K203" s="859"/>
      <c r="L203" s="749">
        <f>H203</f>
        <v>1339.2</v>
      </c>
      <c r="M203" s="747" t="str">
        <f t="shared" ref="M203:M208" si="93">IF(ISBLANK(L203)," ",IF(ISTEXT(L203)," ",IF(L203&lt;=1339.2,"МСМК",IF(L203&lt;=1418.2,"МС",IF(L203&lt;=1458.5,"КМС",IF(L203&lt;=1600,"I",IF(L203&lt;=1724.5,"II",IF(L203&lt;=1850,"III","б/р"))))))))</f>
        <v>МСМК</v>
      </c>
      <c r="N203" s="747" t="str">
        <f t="shared" ref="N203:N208" si="94">IF(ISBLANK(L203)," ",IF(ISTEXT(L203)," ",IF(L203&lt;=1339.2,"МСМК",IF(L203&lt;=1418.2,"МС",IF(L203&lt;=1458.5,"КМС",IF(L203&lt;=1600,"I",IF(L203&lt;=1724.5,"II",IF(L203&lt;=1850,"III","б/р"))))))))</f>
        <v>МСМК</v>
      </c>
      <c r="P203" s="753"/>
      <c r="Q203" s="753"/>
      <c r="R203" s="753"/>
      <c r="S203" s="753"/>
      <c r="T203" s="753"/>
      <c r="U203" s="753"/>
      <c r="V203" s="753"/>
      <c r="W203" s="753"/>
      <c r="X203" s="753"/>
      <c r="Y203" s="753"/>
      <c r="Z203" s="753"/>
      <c r="AA203" s="753"/>
      <c r="AB203" s="753"/>
      <c r="AC203" s="753"/>
      <c r="AD203" s="753"/>
      <c r="AE203" s="753"/>
      <c r="AF203" s="753"/>
      <c r="AG203" s="753"/>
      <c r="AH203" s="753"/>
    </row>
    <row r="204" spans="3:34">
      <c r="C204" s="762"/>
      <c r="D204" s="531"/>
      <c r="E204" s="586"/>
      <c r="F204" s="762"/>
      <c r="G204" s="762"/>
      <c r="H204" s="532">
        <v>1418.2</v>
      </c>
      <c r="I204" s="540" t="str">
        <f t="shared" si="91"/>
        <v>МС</v>
      </c>
      <c r="J204" s="540" t="str">
        <f t="shared" si="92"/>
        <v>МС</v>
      </c>
      <c r="K204" s="859"/>
      <c r="L204" s="749">
        <f>H204</f>
        <v>1418.2</v>
      </c>
      <c r="M204" s="747" t="str">
        <f t="shared" si="93"/>
        <v>МС</v>
      </c>
      <c r="N204" s="747" t="str">
        <f t="shared" si="94"/>
        <v>МС</v>
      </c>
      <c r="P204" s="753"/>
      <c r="Q204" s="753"/>
      <c r="R204" s="753"/>
      <c r="S204" s="753"/>
      <c r="T204" s="753"/>
      <c r="U204" s="753"/>
      <c r="V204" s="753"/>
      <c r="W204" s="753"/>
      <c r="X204" s="753"/>
      <c r="Y204" s="753"/>
      <c r="Z204" s="753"/>
      <c r="AA204" s="753"/>
      <c r="AB204" s="753"/>
      <c r="AC204" s="753"/>
      <c r="AD204" s="753"/>
      <c r="AE204" s="753"/>
      <c r="AF204" s="753"/>
      <c r="AG204" s="753"/>
      <c r="AH204" s="753"/>
    </row>
    <row r="205" spans="3:34">
      <c r="C205" s="762"/>
      <c r="D205" s="531"/>
      <c r="E205" s="586"/>
      <c r="F205" s="762"/>
      <c r="G205" s="762"/>
      <c r="H205" s="532">
        <v>1458.7</v>
      </c>
      <c r="I205" s="540" t="str">
        <f t="shared" si="91"/>
        <v>КМС</v>
      </c>
      <c r="J205" s="540" t="str">
        <f t="shared" si="92"/>
        <v>КМС</v>
      </c>
      <c r="K205" s="859"/>
      <c r="L205" s="532">
        <f>H205-0.2</f>
        <v>1458.5</v>
      </c>
      <c r="M205" s="540" t="str">
        <f t="shared" si="93"/>
        <v>КМС</v>
      </c>
      <c r="N205" s="540" t="str">
        <f t="shared" si="94"/>
        <v>КМС</v>
      </c>
      <c r="P205" s="753"/>
      <c r="Q205" s="753"/>
      <c r="R205" s="753"/>
      <c r="S205" s="753"/>
      <c r="T205" s="753"/>
      <c r="U205" s="753"/>
      <c r="V205" s="753"/>
      <c r="W205" s="753"/>
      <c r="X205" s="753"/>
      <c r="Y205" s="753"/>
      <c r="Z205" s="753"/>
      <c r="AA205" s="753"/>
      <c r="AB205" s="753"/>
      <c r="AC205" s="753"/>
      <c r="AD205" s="753"/>
      <c r="AE205" s="753"/>
      <c r="AF205" s="753"/>
      <c r="AG205" s="753"/>
      <c r="AH205" s="753"/>
    </row>
    <row r="206" spans="3:34">
      <c r="C206" s="762"/>
      <c r="D206" s="531"/>
      <c r="E206" s="586"/>
      <c r="F206" s="762"/>
      <c r="G206" s="762"/>
      <c r="H206" s="532">
        <v>1600.2</v>
      </c>
      <c r="I206" s="540" t="str">
        <f t="shared" si="91"/>
        <v>I</v>
      </c>
      <c r="J206" s="540" t="str">
        <f t="shared" si="92"/>
        <v>I</v>
      </c>
      <c r="K206" s="859"/>
      <c r="L206" s="532">
        <f t="shared" ref="L206:L208" si="95">H206-0.2</f>
        <v>1600</v>
      </c>
      <c r="M206" s="540" t="str">
        <f t="shared" si="93"/>
        <v>I</v>
      </c>
      <c r="N206" s="540" t="str">
        <f t="shared" si="94"/>
        <v>I</v>
      </c>
      <c r="P206" s="753"/>
      <c r="Q206" s="753"/>
      <c r="R206" s="753"/>
      <c r="S206" s="753"/>
      <c r="T206" s="753"/>
      <c r="U206" s="753"/>
      <c r="V206" s="753"/>
      <c r="W206" s="753"/>
      <c r="X206" s="753"/>
      <c r="Y206" s="753"/>
      <c r="Z206" s="753"/>
      <c r="AA206" s="753"/>
      <c r="AB206" s="753"/>
      <c r="AC206" s="753"/>
      <c r="AD206" s="753"/>
      <c r="AE206" s="753"/>
      <c r="AF206" s="753"/>
      <c r="AG206" s="753"/>
      <c r="AH206" s="753"/>
    </row>
    <row r="207" spans="3:34">
      <c r="C207" s="762"/>
      <c r="D207" s="531"/>
      <c r="E207" s="586"/>
      <c r="F207" s="762"/>
      <c r="G207" s="762"/>
      <c r="H207" s="532">
        <v>1724.7</v>
      </c>
      <c r="I207" s="540" t="str">
        <f t="shared" si="91"/>
        <v>II</v>
      </c>
      <c r="J207" s="540" t="str">
        <f t="shared" si="92"/>
        <v>II</v>
      </c>
      <c r="K207" s="859"/>
      <c r="L207" s="532">
        <f t="shared" si="95"/>
        <v>1724.5</v>
      </c>
      <c r="M207" s="540" t="str">
        <f t="shared" si="93"/>
        <v>II</v>
      </c>
      <c r="N207" s="540" t="str">
        <f t="shared" si="94"/>
        <v>II</v>
      </c>
      <c r="P207" s="753"/>
      <c r="Q207" s="753"/>
      <c r="R207" s="753"/>
      <c r="S207" s="753"/>
      <c r="T207" s="753"/>
      <c r="U207" s="753"/>
      <c r="V207" s="753"/>
      <c r="W207" s="753"/>
      <c r="X207" s="753"/>
      <c r="Y207" s="753"/>
      <c r="Z207" s="753"/>
      <c r="AA207" s="753"/>
      <c r="AB207" s="753"/>
      <c r="AC207" s="753"/>
      <c r="AD207" s="753"/>
      <c r="AE207" s="753"/>
      <c r="AF207" s="753"/>
      <c r="AG207" s="753"/>
      <c r="AH207" s="753"/>
    </row>
    <row r="208" spans="3:34">
      <c r="C208" s="762"/>
      <c r="D208" s="531"/>
      <c r="E208" s="586"/>
      <c r="F208" s="762"/>
      <c r="G208" s="762"/>
      <c r="H208" s="532">
        <v>1850.2</v>
      </c>
      <c r="I208" s="540" t="str">
        <f t="shared" si="91"/>
        <v>III</v>
      </c>
      <c r="J208" s="540" t="str">
        <f t="shared" si="92"/>
        <v>III</v>
      </c>
      <c r="K208" s="859"/>
      <c r="L208" s="532">
        <f t="shared" si="95"/>
        <v>1850</v>
      </c>
      <c r="M208" s="540" t="str">
        <f t="shared" si="93"/>
        <v>III</v>
      </c>
      <c r="N208" s="540" t="str">
        <f t="shared" si="94"/>
        <v>III</v>
      </c>
      <c r="P208" s="753"/>
      <c r="Q208" s="753"/>
      <c r="R208" s="753"/>
      <c r="S208" s="753"/>
      <c r="T208" s="753"/>
      <c r="U208" s="753"/>
      <c r="V208" s="753"/>
      <c r="W208" s="753"/>
      <c r="X208" s="753"/>
      <c r="Y208" s="753"/>
      <c r="Z208" s="753"/>
      <c r="AA208" s="753"/>
      <c r="AB208" s="753"/>
      <c r="AC208" s="753"/>
      <c r="AD208" s="753"/>
      <c r="AE208" s="753"/>
      <c r="AF208" s="753"/>
      <c r="AG208" s="753"/>
      <c r="AH208" s="753"/>
    </row>
    <row r="209" spans="3:34">
      <c r="C209" s="542"/>
      <c r="D209" s="542"/>
      <c r="E209" s="542"/>
      <c r="F209" s="542"/>
      <c r="G209" s="542"/>
      <c r="H209" s="541"/>
      <c r="I209" s="540" t="str">
        <f>IF(ISBLANK(H209)," ",IF(ISTEXT(H209)," ",IF(H209&lt;=1340.6,"МСМК",IF(H209&lt;=1421.6,"МС",IF(H209&lt;=1502.7,"КМС",IF(H209&lt;=1608.3,"I",IF(H209&lt;=1730,"II",IF(H209&lt;=1900,"III","б/р"))))))))</f>
        <v xml:space="preserve"> </v>
      </c>
      <c r="J209" s="531" t="str">
        <f>IF(ISBLANK(H209)," ",IF(ISTEXT(H209)," ",IF(H209&lt;=1340.6,"МСМК",IF(H209&lt;=1421.6,"МС",IF(H209&lt;=1502.7,"КМС",IF(H209&lt;=1608.3,"I",IF(H209&lt;=1730,"II",IF(H209&lt;=1900,"III","б/р"))))))))</f>
        <v xml:space="preserve"> </v>
      </c>
      <c r="K209" s="859"/>
      <c r="P209" s="743"/>
      <c r="Q209" s="743"/>
      <c r="R209" s="743"/>
      <c r="S209" s="743"/>
      <c r="T209" s="743"/>
      <c r="U209" s="743"/>
      <c r="V209" s="743"/>
      <c r="W209" s="743"/>
      <c r="X209" s="743"/>
      <c r="Y209" s="743"/>
      <c r="Z209" s="743"/>
      <c r="AA209" s="743"/>
      <c r="AB209" s="753"/>
      <c r="AC209" s="753"/>
      <c r="AD209" s="753"/>
      <c r="AE209" s="753"/>
      <c r="AF209" s="753"/>
      <c r="AG209" s="753"/>
      <c r="AH209" s="753"/>
    </row>
    <row r="210" spans="3:34">
      <c r="C210" s="524" t="s">
        <v>134</v>
      </c>
      <c r="D210" s="525"/>
      <c r="E210" s="526"/>
      <c r="F210" s="524"/>
      <c r="G210" s="524"/>
      <c r="H210" s="527"/>
      <c r="I210" s="532"/>
      <c r="J210" s="542"/>
      <c r="K210" s="860"/>
      <c r="P210" s="742"/>
      <c r="Q210" s="742"/>
      <c r="R210" s="742"/>
      <c r="S210" s="742"/>
      <c r="T210" s="742"/>
      <c r="U210" s="742"/>
      <c r="V210" s="742"/>
      <c r="W210" s="742"/>
      <c r="X210" s="742"/>
      <c r="Y210" s="742"/>
      <c r="Z210" s="742"/>
      <c r="AA210" s="742"/>
      <c r="AB210" s="753"/>
      <c r="AC210" s="753"/>
      <c r="AD210" s="753"/>
      <c r="AE210" s="753"/>
      <c r="AF210" s="753"/>
      <c r="AG210" s="753"/>
      <c r="AH210" s="753"/>
    </row>
    <row r="211" spans="3:34">
      <c r="C211" s="762"/>
      <c r="D211" s="531"/>
      <c r="E211" s="586"/>
      <c r="F211" s="762"/>
      <c r="G211" s="762"/>
      <c r="H211" s="532"/>
      <c r="I211" s="532"/>
      <c r="J211" s="542"/>
      <c r="K211" s="860"/>
      <c r="P211" s="753"/>
      <c r="Q211" s="753"/>
      <c r="R211" s="753"/>
      <c r="S211" s="753"/>
      <c r="T211" s="753"/>
      <c r="U211" s="753"/>
      <c r="V211" s="753"/>
      <c r="W211" s="753"/>
      <c r="X211" s="753"/>
      <c r="Y211" s="753"/>
      <c r="Z211" s="753"/>
      <c r="AA211" s="753"/>
      <c r="AB211" s="753"/>
      <c r="AC211" s="753"/>
      <c r="AD211" s="753"/>
      <c r="AE211" s="753"/>
      <c r="AF211" s="753"/>
      <c r="AG211" s="753"/>
      <c r="AH211" s="753"/>
    </row>
    <row r="212" spans="3:34">
      <c r="C212" s="762"/>
      <c r="D212" s="531"/>
      <c r="E212" s="586"/>
      <c r="F212" s="762"/>
      <c r="G212" s="762"/>
      <c r="H212" s="532">
        <v>1241.2</v>
      </c>
      <c r="I212" s="540" t="str">
        <f t="shared" ref="I212:I217" si="96">IF(ISBLANK(H212)," ",IF(ISTEXT(H212)," ",IF(H212&lt;=1241.2,"МСМК",IF(H212&lt;=1320.7,"МС",IF(H212&lt;=1358.2,"КМС",IF(H212&lt;=1452.7,"I",IF(H212&lt;=1615.2,"II",IF(H212&lt;=1733.2,"III","б/р"))))))))</f>
        <v>МСМК</v>
      </c>
      <c r="J212" s="540" t="str">
        <f t="shared" ref="J212:J217" si="97">IF(ISBLANK(H212)," ",IF(ISTEXT(H212)," ",IF(H212&lt;=1241.2,"МСМК",IF(H212&lt;=1320.7,"МС",IF(H212&lt;=1358.2,"КМС",IF(H212&lt;=1452.7,"I",IF(H212&lt;=1615.2,"II",IF(H212&lt;=1733.2,"III","б/р"))))))))</f>
        <v>МСМК</v>
      </c>
      <c r="K212" s="859"/>
      <c r="L212" s="749">
        <f>H212</f>
        <v>1241.2</v>
      </c>
      <c r="M212" s="747" t="str">
        <f t="shared" ref="M212:M217" si="98">IF(ISBLANK(L212)," ",IF(ISTEXT(L212)," ",IF(L212&lt;=1241.2,"МСМК",IF(L212&lt;=1320.7,"МС",IF(L212&lt;=1358,"КМС",IF(L212&lt;=1452.5,"I",IF(L212&lt;=1615,"II",IF(L212&lt;=1733,"III","б/р"))))))))</f>
        <v>МСМК</v>
      </c>
      <c r="N212" s="747" t="str">
        <f t="shared" ref="N212:N217" si="99">IF(ISBLANK(L212)," ",IF(ISTEXT(L212)," ",IF(L212&lt;=1241.2,"МСМК",IF(L212&lt;=1320.7,"МС",IF(L212&lt;=1358,"КМС",IF(L212&lt;=1452.5,"I",IF(L212&lt;=1615,"II",IF(L212&lt;=1733,"III","б/р"))))))))</f>
        <v>МСМК</v>
      </c>
      <c r="P212" s="753"/>
      <c r="Q212" s="753"/>
      <c r="R212" s="753"/>
      <c r="S212" s="753"/>
      <c r="T212" s="753"/>
      <c r="U212" s="753"/>
      <c r="V212" s="753"/>
      <c r="W212" s="753"/>
      <c r="X212" s="753"/>
      <c r="Y212" s="753"/>
      <c r="Z212" s="753"/>
      <c r="AA212" s="753"/>
      <c r="AB212" s="753"/>
      <c r="AC212" s="753"/>
      <c r="AD212" s="753"/>
      <c r="AE212" s="753"/>
      <c r="AF212" s="753"/>
      <c r="AG212" s="753"/>
      <c r="AH212" s="753"/>
    </row>
    <row r="213" spans="3:34">
      <c r="C213" s="762"/>
      <c r="D213" s="531"/>
      <c r="E213" s="586"/>
      <c r="F213" s="762"/>
      <c r="G213" s="762"/>
      <c r="H213" s="532">
        <v>1320.7</v>
      </c>
      <c r="I213" s="540" t="str">
        <f t="shared" si="96"/>
        <v>МС</v>
      </c>
      <c r="J213" s="540" t="str">
        <f t="shared" si="97"/>
        <v>МС</v>
      </c>
      <c r="K213" s="859"/>
      <c r="L213" s="749">
        <f>H213</f>
        <v>1320.7</v>
      </c>
      <c r="M213" s="747" t="str">
        <f t="shared" si="98"/>
        <v>МС</v>
      </c>
      <c r="N213" s="747" t="str">
        <f t="shared" si="99"/>
        <v>МС</v>
      </c>
      <c r="P213" s="753"/>
      <c r="Q213" s="753"/>
      <c r="R213" s="753"/>
      <c r="S213" s="753"/>
      <c r="T213" s="753"/>
      <c r="U213" s="753"/>
      <c r="V213" s="753"/>
      <c r="W213" s="753"/>
      <c r="X213" s="753"/>
      <c r="Y213" s="753"/>
      <c r="Z213" s="753"/>
      <c r="AA213" s="753"/>
      <c r="AB213" s="753"/>
      <c r="AC213" s="753"/>
      <c r="AD213" s="753"/>
      <c r="AE213" s="753"/>
      <c r="AF213" s="753"/>
      <c r="AG213" s="753"/>
      <c r="AH213" s="753"/>
    </row>
    <row r="214" spans="3:34">
      <c r="C214" s="762"/>
      <c r="D214" s="531"/>
      <c r="E214" s="586"/>
      <c r="F214" s="762"/>
      <c r="G214" s="762"/>
      <c r="H214" s="532">
        <v>1358.2</v>
      </c>
      <c r="I214" s="540" t="str">
        <f t="shared" si="96"/>
        <v>КМС</v>
      </c>
      <c r="J214" s="540" t="str">
        <f t="shared" si="97"/>
        <v>КМС</v>
      </c>
      <c r="K214" s="859"/>
      <c r="L214" s="532">
        <f>H214-0.2</f>
        <v>1358</v>
      </c>
      <c r="M214" s="540" t="str">
        <f t="shared" si="98"/>
        <v>КМС</v>
      </c>
      <c r="N214" s="540" t="str">
        <f t="shared" si="99"/>
        <v>КМС</v>
      </c>
      <c r="P214" s="753"/>
      <c r="Q214" s="753"/>
      <c r="R214" s="753"/>
      <c r="S214" s="753"/>
      <c r="T214" s="753"/>
      <c r="U214" s="753"/>
      <c r="V214" s="753"/>
      <c r="W214" s="753"/>
      <c r="X214" s="753"/>
      <c r="Y214" s="753"/>
      <c r="Z214" s="753"/>
      <c r="AA214" s="753"/>
      <c r="AB214" s="753"/>
      <c r="AC214" s="753"/>
      <c r="AD214" s="753"/>
      <c r="AE214" s="753"/>
      <c r="AF214" s="753"/>
      <c r="AG214" s="753"/>
      <c r="AH214" s="753"/>
    </row>
    <row r="215" spans="3:34">
      <c r="C215" s="762"/>
      <c r="D215" s="531"/>
      <c r="E215" s="586"/>
      <c r="F215" s="762"/>
      <c r="G215" s="762"/>
      <c r="H215" s="532">
        <v>1452.7</v>
      </c>
      <c r="I215" s="540" t="str">
        <f t="shared" si="96"/>
        <v>I</v>
      </c>
      <c r="J215" s="540" t="str">
        <f t="shared" si="97"/>
        <v>I</v>
      </c>
      <c r="K215" s="859"/>
      <c r="L215" s="532">
        <f t="shared" ref="L215:L217" si="100">H215-0.2</f>
        <v>1452.5</v>
      </c>
      <c r="M215" s="540" t="str">
        <f t="shared" si="98"/>
        <v>I</v>
      </c>
      <c r="N215" s="540" t="str">
        <f t="shared" si="99"/>
        <v>I</v>
      </c>
      <c r="P215" s="753"/>
      <c r="Q215" s="753"/>
      <c r="R215" s="753"/>
      <c r="S215" s="753"/>
      <c r="T215" s="753"/>
      <c r="U215" s="753"/>
      <c r="V215" s="753"/>
      <c r="W215" s="753"/>
      <c r="X215" s="753"/>
      <c r="Y215" s="753"/>
      <c r="Z215" s="753"/>
      <c r="AA215" s="753"/>
      <c r="AB215" s="753"/>
      <c r="AC215" s="753"/>
      <c r="AD215" s="753"/>
      <c r="AE215" s="753"/>
      <c r="AF215" s="753"/>
      <c r="AG215" s="753"/>
      <c r="AH215" s="753"/>
    </row>
    <row r="216" spans="3:34">
      <c r="C216" s="762"/>
      <c r="D216" s="531"/>
      <c r="E216" s="586"/>
      <c r="F216" s="762"/>
      <c r="G216" s="762"/>
      <c r="H216" s="532">
        <v>1615.2</v>
      </c>
      <c r="I216" s="540" t="str">
        <f t="shared" si="96"/>
        <v>II</v>
      </c>
      <c r="J216" s="540" t="str">
        <f t="shared" si="97"/>
        <v>II</v>
      </c>
      <c r="K216" s="859"/>
      <c r="L216" s="532">
        <f t="shared" si="100"/>
        <v>1615</v>
      </c>
      <c r="M216" s="540" t="str">
        <f t="shared" si="98"/>
        <v>II</v>
      </c>
      <c r="N216" s="540" t="str">
        <f t="shared" si="99"/>
        <v>II</v>
      </c>
      <c r="P216" s="753"/>
      <c r="Q216" s="753"/>
      <c r="R216" s="753"/>
      <c r="S216" s="753"/>
      <c r="T216" s="753"/>
      <c r="U216" s="753"/>
      <c r="V216" s="753"/>
      <c r="W216" s="753"/>
      <c r="X216" s="753"/>
      <c r="Y216" s="753"/>
      <c r="Z216" s="753"/>
      <c r="AA216" s="753"/>
      <c r="AB216" s="753"/>
      <c r="AC216" s="753"/>
      <c r="AD216" s="753"/>
      <c r="AE216" s="753"/>
      <c r="AF216" s="753"/>
      <c r="AG216" s="753"/>
      <c r="AH216" s="753"/>
    </row>
    <row r="217" spans="3:34">
      <c r="C217" s="762"/>
      <c r="D217" s="531"/>
      <c r="E217" s="586"/>
      <c r="F217" s="762"/>
      <c r="G217" s="762"/>
      <c r="H217" s="532">
        <v>1733.2</v>
      </c>
      <c r="I217" s="540" t="str">
        <f t="shared" si="96"/>
        <v>III</v>
      </c>
      <c r="J217" s="540" t="str">
        <f t="shared" si="97"/>
        <v>III</v>
      </c>
      <c r="K217" s="859"/>
      <c r="L217" s="532">
        <f t="shared" si="100"/>
        <v>1733</v>
      </c>
      <c r="M217" s="540" t="str">
        <f t="shared" si="98"/>
        <v>III</v>
      </c>
      <c r="N217" s="540" t="str">
        <f t="shared" si="99"/>
        <v>III</v>
      </c>
      <c r="P217" s="753"/>
      <c r="Q217" s="753"/>
      <c r="R217" s="753"/>
      <c r="S217" s="753"/>
      <c r="T217" s="753"/>
      <c r="U217" s="753"/>
      <c r="V217" s="753"/>
      <c r="W217" s="753"/>
      <c r="X217" s="753"/>
      <c r="Y217" s="753"/>
      <c r="Z217" s="753"/>
      <c r="AA217" s="753"/>
      <c r="AB217" s="753"/>
      <c r="AC217" s="753"/>
      <c r="AD217" s="753"/>
      <c r="AE217" s="753"/>
      <c r="AF217" s="753"/>
      <c r="AG217" s="753"/>
      <c r="AH217" s="753"/>
    </row>
    <row r="218" spans="3:34">
      <c r="C218" s="762"/>
      <c r="D218" s="531"/>
      <c r="E218" s="586"/>
      <c r="F218" s="762"/>
      <c r="G218" s="762"/>
      <c r="H218" s="532"/>
      <c r="I218" s="540" t="str">
        <f>IF(ISBLANK(H218)," ",IF(ISTEXT(H218)," ",IF(H218&lt;=1245.6,"МСМК",IF(H218&lt;=1323.3,"МС",IF(H218&lt;=1401.5,"КМС",IF(H218&lt;=1455,"I",IF(H218&lt;=1620,"II",IF(H218&lt;=1740,"III","б/р"))))))))</f>
        <v xml:space="preserve"> </v>
      </c>
      <c r="J218" s="531" t="str">
        <f>IF(ISBLANK(H218)," ",IF(ISTEXT(H218)," ",IF(H218&lt;=1245.6,"МСМК",IF(H218&lt;=1323.3,"МС",IF(H218&lt;=1401.5,"КМС",IF(H218&lt;=1455,"I",IF(H218&lt;=1620,"II",IF(H218&lt;=1740,"III","б/р"))))))))</f>
        <v xml:space="preserve"> </v>
      </c>
      <c r="K218" s="859"/>
      <c r="P218" s="753"/>
      <c r="Q218" s="753"/>
      <c r="R218" s="753"/>
      <c r="S218" s="753"/>
      <c r="T218" s="753"/>
      <c r="U218" s="753"/>
      <c r="V218" s="753"/>
      <c r="W218" s="753"/>
      <c r="X218" s="753"/>
      <c r="Y218" s="753"/>
      <c r="Z218" s="753"/>
      <c r="AA218" s="753"/>
      <c r="AB218" s="753"/>
      <c r="AC218" s="753"/>
      <c r="AD218" s="753"/>
      <c r="AE218" s="753"/>
      <c r="AF218" s="753"/>
      <c r="AG218" s="753"/>
      <c r="AH218" s="753"/>
    </row>
    <row r="219" spans="3:34">
      <c r="C219" s="524" t="s">
        <v>135</v>
      </c>
      <c r="D219" s="525"/>
      <c r="E219" s="526"/>
      <c r="F219" s="524"/>
      <c r="G219" s="524"/>
      <c r="H219" s="527"/>
      <c r="I219" s="532"/>
      <c r="J219" s="542"/>
      <c r="K219" s="860"/>
      <c r="P219" s="753"/>
      <c r="Q219" s="753"/>
      <c r="R219" s="753"/>
      <c r="S219" s="753"/>
      <c r="T219" s="753"/>
      <c r="U219" s="753"/>
      <c r="V219" s="753"/>
      <c r="W219" s="753"/>
      <c r="X219" s="753"/>
      <c r="Y219" s="753"/>
      <c r="Z219" s="753"/>
      <c r="AA219" s="753"/>
      <c r="AB219" s="753"/>
      <c r="AC219" s="753"/>
      <c r="AD219" s="753"/>
      <c r="AE219" s="753"/>
      <c r="AF219" s="753"/>
      <c r="AG219" s="753"/>
      <c r="AH219" s="753"/>
    </row>
    <row r="220" spans="3:34">
      <c r="C220" s="762"/>
      <c r="D220" s="531"/>
      <c r="E220" s="586"/>
      <c r="F220" s="762"/>
      <c r="G220" s="762"/>
      <c r="H220" s="532">
        <v>36.299999999999997</v>
      </c>
      <c r="I220" s="540" t="str">
        <f t="shared" ref="I220:I227" si="101">IF(ISBLANK(H220)," ",IF(ISTEXT(H220)," ",IF(H220&lt;=36.3,"МСМК",IF(H220&lt;=38.1,"МС",IF(H220&lt;=39.9,"КМС",IF(H220&lt;=42.8,"I",IF(H220&lt;=46.4,"II",IF(H220&lt;=50.4,"III",IF(H220&lt;=55.2,"I юн",IF(H220&lt;=100.2,"II юн",IF(H220&lt;=105.4,"III юн","б/р")))))))))))</f>
        <v>МСМК</v>
      </c>
      <c r="J220" s="540" t="str">
        <f t="shared" ref="J220:J227" si="102">IF(ISBLANK(H220)," ",IF(ISTEXT(H220)," ",IF(H220&lt;=36.3,"МСМК",IF(H220&lt;=38.1,"МС",IF(H220&lt;=39.9,"КМС",IF(H220&lt;=42.8,"I",IF(H220&lt;=46.4,"II",IF(H220&lt;=50.4,"III",IF(H220&lt;=55.2,"I юн",IF(H220&lt;=100.2,"II юн",IF(H220&lt;=105.4,"III юн","б/р")))))))))))</f>
        <v>МСМК</v>
      </c>
      <c r="K220" s="859"/>
      <c r="L220" s="749">
        <f>H220</f>
        <v>36.299999999999997</v>
      </c>
      <c r="M220" s="747" t="str">
        <f>IF(ISBLANK(L220)," ",IF(ISTEXT(L220)," ",IF(L220&lt;=36.3,"МСМК",IF(L220&lt;=38.1,"МС",IF(L220&lt;=39.7,"КМС",IF(L220&lt;=42.6,"I",IF(L220&lt;=46.2,"II",IF(L220&lt;=50.2,"III",IF(L220&lt;=55,"I юн",IF(L220&lt;=100,"II юн",IF(L220&lt;=105.2,"III юн","б/р")))))))))))</f>
        <v>МСМК</v>
      </c>
      <c r="N220" s="747" t="str">
        <f>IF(ISBLANK(L220)," ",IF(ISTEXT(L220)," ",IF(L220&lt;=36.3,"МСМК",IF(L220&lt;=38.1,"МС",IF(L220&lt;=39.7,"КМС",IF(L220&lt;=42.6,"I",IF(L220&lt;=46.2,"II",IF(L220&lt;=50.2,"III",IF(L220&lt;=55,"I юн",IF(L220&lt;=100,"II юн",IF(L220&lt;=105.2,"III юн","б/р")))))))))))</f>
        <v>МСМК</v>
      </c>
      <c r="P220" s="753"/>
      <c r="Q220" s="753"/>
      <c r="R220" s="753"/>
      <c r="S220" s="753"/>
      <c r="T220" s="753"/>
      <c r="U220" s="753"/>
      <c r="V220" s="753"/>
      <c r="W220" s="753"/>
      <c r="X220" s="753"/>
      <c r="Y220" s="753"/>
      <c r="Z220" s="753"/>
      <c r="AA220" s="753"/>
      <c r="AB220" s="753"/>
      <c r="AC220" s="753"/>
      <c r="AD220" s="753"/>
      <c r="AE220" s="753"/>
      <c r="AF220" s="753"/>
      <c r="AG220" s="753"/>
      <c r="AH220" s="753"/>
    </row>
    <row r="221" spans="3:34">
      <c r="C221" s="762"/>
      <c r="D221" s="531"/>
      <c r="E221" s="586"/>
      <c r="F221" s="762"/>
      <c r="G221" s="762"/>
      <c r="H221" s="532">
        <v>38.1</v>
      </c>
      <c r="I221" s="540" t="str">
        <f t="shared" si="101"/>
        <v>МС</v>
      </c>
      <c r="J221" s="540" t="str">
        <f t="shared" si="102"/>
        <v>МС</v>
      </c>
      <c r="K221" s="859"/>
      <c r="L221" s="749">
        <f>H221</f>
        <v>38.1</v>
      </c>
      <c r="M221" s="747" t="str">
        <f t="shared" ref="M221:M228" si="103">IF(ISBLANK(L221)," ",IF(ISTEXT(L221)," ",IF(L221&lt;=36.3,"МСМК",IF(L221&lt;=38.1,"МС",IF(L221&lt;=39.7,"КМС",IF(L221&lt;=42.6,"I",IF(L221&lt;=46.2,"II",IF(L221&lt;=50.2,"III",IF(L221&lt;=55,"I юн",IF(L221&lt;=100,"II юн",IF(L221&lt;=105.2,"III юн","б/р")))))))))))</f>
        <v>МС</v>
      </c>
      <c r="N221" s="747" t="str">
        <f t="shared" ref="N221:N228" si="104">IF(ISBLANK(L221)," ",IF(ISTEXT(L221)," ",IF(L221&lt;=36.3,"МСМК",IF(L221&lt;=38.1,"МС",IF(L221&lt;=39.7,"КМС",IF(L221&lt;=42.6,"I",IF(L221&lt;=46.2,"II",IF(L221&lt;=50.2,"III",IF(L221&lt;=55,"I юн",IF(L221&lt;=100,"II юн",IF(L221&lt;=105.2,"III юн","б/р")))))))))))</f>
        <v>МС</v>
      </c>
      <c r="P221" s="753"/>
      <c r="Q221" s="753"/>
      <c r="R221" s="753"/>
      <c r="S221" s="753"/>
      <c r="T221" s="753"/>
      <c r="U221" s="753"/>
      <c r="V221" s="753"/>
      <c r="W221" s="753"/>
      <c r="X221" s="753"/>
      <c r="Y221" s="753"/>
      <c r="Z221" s="753"/>
      <c r="AA221" s="753"/>
      <c r="AB221" s="753"/>
      <c r="AC221" s="753"/>
      <c r="AD221" s="753"/>
      <c r="AE221" s="753"/>
      <c r="AF221" s="753"/>
      <c r="AG221" s="753"/>
      <c r="AH221" s="753"/>
    </row>
    <row r="222" spans="3:34">
      <c r="C222" s="762"/>
      <c r="D222" s="531"/>
      <c r="E222" s="586"/>
      <c r="F222" s="762"/>
      <c r="G222" s="762"/>
      <c r="H222" s="532">
        <v>39.9</v>
      </c>
      <c r="I222" s="540" t="str">
        <f t="shared" si="101"/>
        <v>КМС</v>
      </c>
      <c r="J222" s="540" t="str">
        <f t="shared" si="102"/>
        <v>КМС</v>
      </c>
      <c r="K222" s="859"/>
      <c r="L222" s="532">
        <f>H222-0.2</f>
        <v>39.699999999999996</v>
      </c>
      <c r="M222" s="540" t="str">
        <f t="shared" si="103"/>
        <v>КМС</v>
      </c>
      <c r="N222" s="540" t="str">
        <f t="shared" si="104"/>
        <v>КМС</v>
      </c>
      <c r="P222" s="753"/>
      <c r="Q222" s="753"/>
      <c r="R222" s="753"/>
      <c r="S222" s="753"/>
      <c r="T222" s="753"/>
      <c r="U222" s="753"/>
      <c r="V222" s="753"/>
      <c r="W222" s="753"/>
      <c r="X222" s="753"/>
      <c r="Y222" s="753"/>
      <c r="Z222" s="753"/>
      <c r="AA222" s="753"/>
      <c r="AB222" s="753"/>
      <c r="AC222" s="753"/>
      <c r="AD222" s="753"/>
      <c r="AE222" s="753"/>
      <c r="AF222" s="753"/>
      <c r="AG222" s="753"/>
      <c r="AH222" s="753"/>
    </row>
    <row r="223" spans="3:34">
      <c r="C223" s="762"/>
      <c r="D223" s="531"/>
      <c r="E223" s="586"/>
      <c r="F223" s="762"/>
      <c r="G223" s="762"/>
      <c r="H223" s="532">
        <v>42.8</v>
      </c>
      <c r="I223" s="540" t="str">
        <f t="shared" si="101"/>
        <v>I</v>
      </c>
      <c r="J223" s="540" t="str">
        <f t="shared" si="102"/>
        <v>I</v>
      </c>
      <c r="K223" s="859"/>
      <c r="L223" s="532">
        <f t="shared" ref="L223:L228" si="105">H223-0.2</f>
        <v>42.599999999999994</v>
      </c>
      <c r="M223" s="540" t="str">
        <f t="shared" si="103"/>
        <v>I</v>
      </c>
      <c r="N223" s="540" t="str">
        <f t="shared" si="104"/>
        <v>I</v>
      </c>
      <c r="P223" s="753"/>
      <c r="Q223" s="753"/>
      <c r="R223" s="753"/>
      <c r="S223" s="753"/>
      <c r="T223" s="753"/>
      <c r="U223" s="753"/>
      <c r="V223" s="753"/>
      <c r="W223" s="753"/>
      <c r="X223" s="753"/>
      <c r="Y223" s="753"/>
      <c r="Z223" s="753"/>
      <c r="AA223" s="753"/>
      <c r="AB223" s="753"/>
      <c r="AC223" s="753"/>
      <c r="AD223" s="753"/>
      <c r="AE223" s="753"/>
      <c r="AF223" s="753"/>
      <c r="AG223" s="753"/>
      <c r="AH223" s="753"/>
    </row>
    <row r="224" spans="3:34">
      <c r="C224" s="762"/>
      <c r="D224" s="531"/>
      <c r="E224" s="586"/>
      <c r="F224" s="762"/>
      <c r="G224" s="762"/>
      <c r="H224" s="532">
        <v>46.4</v>
      </c>
      <c r="I224" s="540" t="str">
        <f t="shared" si="101"/>
        <v>II</v>
      </c>
      <c r="J224" s="540" t="str">
        <f t="shared" si="102"/>
        <v>II</v>
      </c>
      <c r="K224" s="859"/>
      <c r="L224" s="532">
        <f t="shared" si="105"/>
        <v>46.199999999999996</v>
      </c>
      <c r="M224" s="540" t="str">
        <f t="shared" si="103"/>
        <v>II</v>
      </c>
      <c r="N224" s="540" t="str">
        <f t="shared" si="104"/>
        <v>II</v>
      </c>
      <c r="P224" s="753"/>
      <c r="Q224" s="753"/>
      <c r="R224" s="753"/>
      <c r="S224" s="753"/>
      <c r="T224" s="753"/>
      <c r="U224" s="753"/>
      <c r="V224" s="753"/>
      <c r="W224" s="753"/>
      <c r="X224" s="753"/>
      <c r="Y224" s="753"/>
      <c r="Z224" s="753"/>
      <c r="AA224" s="753"/>
      <c r="AB224" s="753"/>
      <c r="AC224" s="753"/>
      <c r="AD224" s="753"/>
      <c r="AE224" s="753"/>
      <c r="AF224" s="753"/>
      <c r="AG224" s="753"/>
      <c r="AH224" s="753"/>
    </row>
    <row r="225" spans="3:34">
      <c r="C225" s="762"/>
      <c r="D225" s="531"/>
      <c r="E225" s="586"/>
      <c r="F225" s="762"/>
      <c r="G225" s="762"/>
      <c r="H225" s="532">
        <v>50.4</v>
      </c>
      <c r="I225" s="540" t="str">
        <f t="shared" si="101"/>
        <v>III</v>
      </c>
      <c r="J225" s="540" t="str">
        <f t="shared" si="102"/>
        <v>III</v>
      </c>
      <c r="K225" s="859"/>
      <c r="L225" s="532">
        <f t="shared" si="105"/>
        <v>50.199999999999996</v>
      </c>
      <c r="M225" s="540" t="str">
        <f t="shared" si="103"/>
        <v>III</v>
      </c>
      <c r="N225" s="540" t="str">
        <f t="shared" si="104"/>
        <v>III</v>
      </c>
      <c r="P225" s="753"/>
      <c r="Q225" s="753"/>
      <c r="R225" s="753"/>
      <c r="S225" s="753"/>
      <c r="T225" s="753"/>
      <c r="U225" s="753"/>
      <c r="V225" s="753"/>
      <c r="W225" s="753"/>
      <c r="X225" s="753"/>
      <c r="Y225" s="753"/>
      <c r="Z225" s="753"/>
      <c r="AA225" s="753"/>
      <c r="AB225" s="753"/>
      <c r="AC225" s="753"/>
      <c r="AD225" s="753"/>
      <c r="AE225" s="753"/>
      <c r="AF225" s="753"/>
      <c r="AG225" s="753"/>
      <c r="AH225" s="753"/>
    </row>
    <row r="226" spans="3:34">
      <c r="C226" s="762"/>
      <c r="D226" s="531"/>
      <c r="E226" s="586"/>
      <c r="F226" s="762"/>
      <c r="G226" s="762"/>
      <c r="H226" s="145">
        <v>55.2</v>
      </c>
      <c r="I226" s="540" t="str">
        <f t="shared" si="101"/>
        <v>I юн</v>
      </c>
      <c r="J226" s="540" t="str">
        <f t="shared" si="102"/>
        <v>I юн</v>
      </c>
      <c r="K226" s="859"/>
      <c r="L226" s="532">
        <f t="shared" si="105"/>
        <v>55</v>
      </c>
      <c r="M226" s="540" t="str">
        <f t="shared" si="103"/>
        <v>I юн</v>
      </c>
      <c r="N226" s="540" t="str">
        <f t="shared" si="104"/>
        <v>I юн</v>
      </c>
      <c r="P226" s="753"/>
      <c r="Q226" s="753"/>
      <c r="R226" s="753"/>
      <c r="S226" s="753"/>
      <c r="T226" s="753"/>
      <c r="U226" s="753"/>
      <c r="V226" s="753"/>
      <c r="W226" s="753"/>
      <c r="X226" s="753"/>
      <c r="Y226" s="753"/>
      <c r="Z226" s="753"/>
      <c r="AA226" s="753"/>
      <c r="AB226" s="753"/>
      <c r="AC226" s="753"/>
      <c r="AD226" s="753"/>
      <c r="AE226" s="753"/>
      <c r="AF226" s="753"/>
      <c r="AG226" s="753"/>
      <c r="AH226" s="753"/>
    </row>
    <row r="227" spans="3:34">
      <c r="C227" s="762"/>
      <c r="D227" s="531"/>
      <c r="E227" s="586"/>
      <c r="F227" s="762"/>
      <c r="G227" s="762"/>
      <c r="H227" s="145">
        <v>100.2</v>
      </c>
      <c r="I227" s="540" t="str">
        <f t="shared" si="101"/>
        <v>II юн</v>
      </c>
      <c r="J227" s="540" t="str">
        <f t="shared" si="102"/>
        <v>II юн</v>
      </c>
      <c r="K227" s="859"/>
      <c r="L227" s="532">
        <v>59.8</v>
      </c>
      <c r="M227" s="540" t="str">
        <f t="shared" si="103"/>
        <v>II юн</v>
      </c>
      <c r="N227" s="540" t="str">
        <f t="shared" si="104"/>
        <v>II юн</v>
      </c>
      <c r="P227" s="753"/>
      <c r="Q227" s="753"/>
      <c r="R227" s="753"/>
      <c r="S227" s="753"/>
      <c r="T227" s="753"/>
      <c r="U227" s="753"/>
      <c r="V227" s="753"/>
      <c r="W227" s="753"/>
      <c r="X227" s="753"/>
      <c r="Y227" s="753"/>
      <c r="Z227" s="753"/>
      <c r="AA227" s="753"/>
      <c r="AB227" s="753"/>
      <c r="AC227" s="753"/>
      <c r="AD227" s="753"/>
      <c r="AE227" s="753"/>
      <c r="AF227" s="753"/>
      <c r="AG227" s="753"/>
      <c r="AH227" s="753"/>
    </row>
    <row r="228" spans="3:34">
      <c r="C228" s="762"/>
      <c r="D228" s="531"/>
      <c r="E228" s="586"/>
      <c r="F228" s="762"/>
      <c r="G228" s="762"/>
      <c r="H228" s="145">
        <v>105.4</v>
      </c>
      <c r="I228" s="540" t="str">
        <f>IF(ISBLANK(H228)," ",IF(ISTEXT(H228)," ",IF(H228&lt;=36.3,"МСМК",IF(H228&lt;=38.1,"МС",IF(H228&lt;=39.9,"КМС",IF(H228&lt;=42.8,"I",IF(H228&lt;=46.4,"II",IF(H228&lt;=50.4,"III",IF(H228&lt;=55.2,"I юн",IF(H228&lt;=100.2,"II юн",IF(H228&lt;=105.4,"III юн","б/р")))))))))))</f>
        <v>III юн</v>
      </c>
      <c r="J228" s="540" t="str">
        <f>IF(ISBLANK(H228)," ",IF(ISTEXT(H228)," ",IF(H228&lt;=36.3,"МСМК",IF(H228&lt;=38.1,"МС",IF(H228&lt;=39.9,"КМС",IF(H228&lt;=42.8,"I",IF(H228&lt;=46.4,"II",IF(H228&lt;=50.4,"III",IF(H228&lt;=55.2,"I юн",IF(H228&lt;=100.2,"II юн",IF(H228&lt;=105.4,"III юн","б/р")))))))))))</f>
        <v>III юн</v>
      </c>
      <c r="K228" s="859"/>
      <c r="L228" s="532">
        <f t="shared" si="105"/>
        <v>105.2</v>
      </c>
      <c r="M228" s="540" t="str">
        <f t="shared" si="103"/>
        <v>III юн</v>
      </c>
      <c r="N228" s="540" t="str">
        <f t="shared" si="104"/>
        <v>III юн</v>
      </c>
      <c r="P228" s="743"/>
      <c r="Q228" s="743"/>
      <c r="R228" s="743"/>
      <c r="S228" s="743"/>
      <c r="T228" s="743"/>
      <c r="U228" s="743"/>
      <c r="V228" s="743"/>
      <c r="W228" s="743"/>
      <c r="X228" s="743"/>
      <c r="Y228" s="743"/>
      <c r="Z228" s="743"/>
      <c r="AA228" s="743"/>
      <c r="AB228" s="742"/>
      <c r="AC228" s="742"/>
      <c r="AD228" s="742"/>
      <c r="AE228" s="742"/>
      <c r="AF228" s="742"/>
      <c r="AG228" s="742"/>
      <c r="AH228" s="753"/>
    </row>
    <row r="229" spans="3:34">
      <c r="C229" s="762"/>
      <c r="D229" s="531"/>
      <c r="E229" s="586"/>
      <c r="F229" s="762"/>
      <c r="G229" s="762"/>
      <c r="H229" s="145"/>
      <c r="I229" s="540" t="str">
        <f>IF(ISBLANK(H229)," ",IF(ISTEXT(H229)," ",IF(H229&lt;=36.2,"МСМК",IF(H229&lt;=38,"МС",IF(H229&lt;=39.8,"КМС",IF(H229&lt;=42.7,"I",IF(H229&lt;=46.3,"II",IF(H229&lt;=50.3,"III",IF(H229&lt;=55,"I юн",IF(H229&lt;=100,"II юн",IF(H229&lt;=105.2,"III юн","б/р")))))))))))</f>
        <v xml:space="preserve"> </v>
      </c>
      <c r="J229" s="540" t="str">
        <f>IF(ISBLANK(H229)," ",IF(ISTEXT(H229)," ",IF(H229&lt;=36.2,"МСМК",IF(H229&lt;=38,"МС",IF(H229&lt;=39.8,"КМС",IF(H229&lt;=42.7,"I",IF(H229&lt;=46.3,"II",IF(H229&lt;=50.3,"III",IF(H229&lt;=55,"I юн",IF(H229&lt;=100,"II юн",IF(H229&lt;=105.2,"III юн","б/р")))))))))))</f>
        <v xml:space="preserve"> </v>
      </c>
      <c r="K229" s="859"/>
      <c r="P229" s="742"/>
      <c r="Q229" s="742"/>
      <c r="R229" s="742"/>
      <c r="S229" s="742"/>
      <c r="T229" s="742"/>
      <c r="U229" s="742"/>
      <c r="V229" s="742"/>
      <c r="W229" s="742"/>
      <c r="X229" s="742"/>
      <c r="Y229" s="742"/>
      <c r="Z229" s="742"/>
      <c r="AA229" s="742"/>
      <c r="AB229" s="742"/>
      <c r="AC229" s="742"/>
      <c r="AD229" s="742"/>
      <c r="AE229" s="742"/>
      <c r="AF229" s="742"/>
      <c r="AG229" s="742"/>
      <c r="AH229" s="753"/>
    </row>
    <row r="230" spans="3:34">
      <c r="C230" s="524" t="s">
        <v>136</v>
      </c>
      <c r="D230" s="542"/>
      <c r="E230" s="542"/>
      <c r="F230" s="543"/>
      <c r="G230" s="543"/>
      <c r="H230" s="541"/>
      <c r="I230" s="544"/>
      <c r="J230" s="545"/>
      <c r="K230" s="860"/>
      <c r="P230" s="753"/>
      <c r="Q230" s="753"/>
      <c r="R230" s="753"/>
      <c r="S230" s="753"/>
      <c r="T230" s="753"/>
      <c r="U230" s="753"/>
      <c r="V230" s="753"/>
      <c r="W230" s="753"/>
      <c r="X230" s="753"/>
      <c r="Y230" s="753"/>
      <c r="Z230" s="753"/>
      <c r="AA230" s="753"/>
      <c r="AB230" s="753"/>
      <c r="AC230" s="753"/>
      <c r="AD230" s="753"/>
      <c r="AE230" s="753"/>
      <c r="AF230" s="753"/>
      <c r="AG230" s="753"/>
      <c r="AH230" s="753"/>
    </row>
    <row r="231" spans="3:34">
      <c r="C231" s="762"/>
      <c r="D231" s="542"/>
      <c r="E231" s="542"/>
      <c r="F231" s="542"/>
      <c r="G231" s="542"/>
      <c r="H231" s="532">
        <v>33.1</v>
      </c>
      <c r="I231" s="540" t="str">
        <f t="shared" ref="I231:I238" si="106">IF(ISBLANK(H231)," ",IF(ISTEXT(H231)," ",IF(H231&lt;=33.1,"МСМК",IF(H231&lt;=34.7,"МС",IF(H231&lt;=36.4,"КМС",IF(H231&lt;=40,"I",IF(H231&lt;=42.3,"II",IF(H231&lt;=46,"III",IF(H231&lt;=50.4,"I юн",IF(H231&lt;=55,"II юн",IF(H231&lt;=59.6,"III юн","б/р")))))))))))</f>
        <v>МСМК</v>
      </c>
      <c r="J231" s="540" t="str">
        <f t="shared" ref="J231:J238" si="107">IF(ISBLANK(H231)," ",IF(ISTEXT(H231)," ",IF(H231&lt;=33.1,"МСМК",IF(H231&lt;=34.7,"МС",IF(H231&lt;=36.4,"КМС",IF(H231&lt;=40,"I",IF(H231&lt;=42.3,"II",IF(H231&lt;=46,"III",IF(H231&lt;=50.4,"I юн",IF(H231&lt;=55,"II юн",IF(H231&lt;=59.6,"III юн","б/р")))))))))))</f>
        <v>МСМК</v>
      </c>
      <c r="K231" s="859"/>
      <c r="L231" s="749">
        <f>H231</f>
        <v>33.1</v>
      </c>
      <c r="M231" s="747" t="str">
        <f>IF(ISBLANK(L231)," ",IF(ISTEXT(L231)," ",IF(L231&lt;=33.1,"МСМК",IF(L231&lt;=34.7,"МС",IF(L231&lt;=36.2,"КМС",IF(L231&lt;=38.8,"I",IF(L231&lt;=42.1,"II",IF(L231&lt;=45.8,"III",IF(L231&lt;=50.2,"I юн",IF(L231&lt;=54.8,"II юн",IF(L231&lt;=59.4,"III юн","б/р")))))))))))</f>
        <v>МСМК</v>
      </c>
      <c r="N231" s="747" t="str">
        <f>IF(ISBLANK(L231)," ",IF(ISTEXT(L231)," ",IF(L231&lt;=33.1,"МСМК",IF(L231&lt;=34.7,"МС",IF(L231&lt;=36.2,"КМС",IF(L231&lt;=38.8,"I",IF(L231&lt;=42.1,"II",IF(L231&lt;=45.8,"III",IF(L231&lt;=50.2,"I юн",IF(L231&lt;=54.8,"II юн",IF(L231&lt;=59.4,"III юн","б/р")))))))))))</f>
        <v>МСМК</v>
      </c>
      <c r="P231" s="753"/>
      <c r="Q231" s="753"/>
      <c r="R231" s="753"/>
      <c r="S231" s="753"/>
      <c r="T231" s="753"/>
      <c r="U231" s="753"/>
      <c r="V231" s="753"/>
      <c r="W231" s="753"/>
      <c r="X231" s="753"/>
      <c r="Y231" s="753"/>
      <c r="Z231" s="753"/>
      <c r="AA231" s="753"/>
      <c r="AB231" s="753"/>
      <c r="AC231" s="753"/>
      <c r="AD231" s="753"/>
      <c r="AE231" s="753"/>
      <c r="AF231" s="753"/>
      <c r="AG231" s="753"/>
      <c r="AH231" s="753"/>
    </row>
    <row r="232" spans="3:34">
      <c r="C232" s="762"/>
      <c r="D232" s="542"/>
      <c r="E232" s="542"/>
      <c r="F232" s="542"/>
      <c r="G232" s="542"/>
      <c r="H232" s="532">
        <v>34.700000000000003</v>
      </c>
      <c r="I232" s="540" t="str">
        <f t="shared" si="106"/>
        <v>МС</v>
      </c>
      <c r="J232" s="540" t="str">
        <f t="shared" si="107"/>
        <v>МС</v>
      </c>
      <c r="K232" s="859"/>
      <c r="L232" s="749">
        <f>H232</f>
        <v>34.700000000000003</v>
      </c>
      <c r="M232" s="747" t="str">
        <f t="shared" ref="M232:M239" si="108">IF(ISBLANK(L232)," ",IF(ISTEXT(L232)," ",IF(L232&lt;=33.1,"МСМК",IF(L232&lt;=34.7,"МС",IF(L232&lt;=36.2,"КМС",IF(L232&lt;=38.8,"I",IF(L232&lt;=42.1,"II",IF(L232&lt;=45.8,"III",IF(L232&lt;=50.2,"I юн",IF(L232&lt;=54.8,"II юн",IF(L232&lt;=59.4,"III юн","б/р")))))))))))</f>
        <v>МС</v>
      </c>
      <c r="N232" s="747" t="str">
        <f t="shared" ref="N232:N239" si="109">IF(ISBLANK(L232)," ",IF(ISTEXT(L232)," ",IF(L232&lt;=33.1,"МСМК",IF(L232&lt;=34.7,"МС",IF(L232&lt;=36.2,"КМС",IF(L232&lt;=38.8,"I",IF(L232&lt;=42.1,"II",IF(L232&lt;=45.8,"III",IF(L232&lt;=50.2,"I юн",IF(L232&lt;=54.8,"II юн",IF(L232&lt;=59.4,"III юн","б/р")))))))))))</f>
        <v>МС</v>
      </c>
      <c r="P232" s="753"/>
      <c r="Q232" s="753"/>
      <c r="R232" s="753"/>
      <c r="S232" s="753"/>
      <c r="T232" s="753"/>
      <c r="U232" s="753"/>
      <c r="V232" s="753"/>
      <c r="W232" s="753"/>
      <c r="X232" s="753"/>
      <c r="Y232" s="753"/>
      <c r="Z232" s="753"/>
      <c r="AA232" s="753"/>
      <c r="AB232" s="753"/>
      <c r="AC232" s="753"/>
      <c r="AD232" s="753"/>
      <c r="AE232" s="753"/>
      <c r="AF232" s="753"/>
      <c r="AG232" s="753"/>
      <c r="AH232" s="753"/>
    </row>
    <row r="233" spans="3:34">
      <c r="C233" s="762"/>
      <c r="D233" s="542"/>
      <c r="E233" s="542"/>
      <c r="F233" s="542"/>
      <c r="G233" s="542"/>
      <c r="H233" s="532">
        <v>36.4</v>
      </c>
      <c r="I233" s="540" t="str">
        <f t="shared" si="106"/>
        <v>КМС</v>
      </c>
      <c r="J233" s="540" t="str">
        <f t="shared" si="107"/>
        <v>КМС</v>
      </c>
      <c r="K233" s="859"/>
      <c r="L233" s="532">
        <f>H233-0.2</f>
        <v>36.199999999999996</v>
      </c>
      <c r="M233" s="540" t="str">
        <f t="shared" si="108"/>
        <v>КМС</v>
      </c>
      <c r="N233" s="540" t="str">
        <f t="shared" si="109"/>
        <v>КМС</v>
      </c>
      <c r="P233" s="753"/>
      <c r="Q233" s="753"/>
      <c r="R233" s="753"/>
      <c r="S233" s="753"/>
      <c r="T233" s="753"/>
      <c r="U233" s="753"/>
      <c r="V233" s="753"/>
      <c r="W233" s="753"/>
      <c r="X233" s="753"/>
      <c r="Y233" s="753"/>
      <c r="Z233" s="753"/>
      <c r="AA233" s="753"/>
      <c r="AB233" s="753"/>
      <c r="AC233" s="753"/>
      <c r="AD233" s="753"/>
      <c r="AE233" s="753"/>
      <c r="AF233" s="753"/>
      <c r="AG233" s="753"/>
      <c r="AH233" s="753"/>
    </row>
    <row r="234" spans="3:34">
      <c r="C234" s="762"/>
      <c r="D234" s="542"/>
      <c r="E234" s="542"/>
      <c r="F234" s="542"/>
      <c r="G234" s="542"/>
      <c r="H234" s="532">
        <v>40</v>
      </c>
      <c r="I234" s="540" t="str">
        <f t="shared" si="106"/>
        <v>I</v>
      </c>
      <c r="J234" s="540" t="str">
        <f t="shared" si="107"/>
        <v>I</v>
      </c>
      <c r="K234" s="859"/>
      <c r="L234" s="532">
        <f t="shared" ref="L234:L239" si="110">H234-0.2</f>
        <v>39.799999999999997</v>
      </c>
      <c r="M234" s="540" t="str">
        <f t="shared" si="108"/>
        <v>II</v>
      </c>
      <c r="N234" s="540" t="str">
        <f t="shared" si="109"/>
        <v>II</v>
      </c>
      <c r="O234" s="751"/>
      <c r="P234" s="753"/>
      <c r="Q234" s="753"/>
      <c r="R234" s="753"/>
      <c r="S234" s="753"/>
      <c r="T234" s="753"/>
      <c r="U234" s="753"/>
      <c r="V234" s="753"/>
      <c r="W234" s="753"/>
      <c r="X234" s="753"/>
      <c r="Y234" s="753"/>
      <c r="Z234" s="753"/>
      <c r="AA234" s="753"/>
      <c r="AB234" s="753"/>
      <c r="AC234" s="753"/>
      <c r="AD234" s="753"/>
      <c r="AE234" s="753"/>
      <c r="AF234" s="753"/>
      <c r="AG234" s="753"/>
      <c r="AH234" s="753"/>
    </row>
    <row r="235" spans="3:34">
      <c r="C235" s="762"/>
      <c r="D235" s="542"/>
      <c r="E235" s="542"/>
      <c r="F235" s="542"/>
      <c r="G235" s="542"/>
      <c r="H235" s="532">
        <v>42.3</v>
      </c>
      <c r="I235" s="540" t="str">
        <f t="shared" si="106"/>
        <v>II</v>
      </c>
      <c r="J235" s="540" t="str">
        <f t="shared" si="107"/>
        <v>II</v>
      </c>
      <c r="K235" s="859"/>
      <c r="L235" s="532">
        <f t="shared" si="110"/>
        <v>42.099999999999994</v>
      </c>
      <c r="M235" s="540" t="str">
        <f t="shared" si="108"/>
        <v>II</v>
      </c>
      <c r="N235" s="540" t="str">
        <f t="shared" si="109"/>
        <v>II</v>
      </c>
      <c r="P235" s="753"/>
      <c r="Q235" s="753"/>
      <c r="R235" s="753"/>
      <c r="S235" s="753"/>
      <c r="T235" s="753"/>
      <c r="U235" s="753"/>
      <c r="V235" s="753"/>
      <c r="W235" s="753"/>
      <c r="X235" s="753"/>
      <c r="Y235" s="753"/>
      <c r="Z235" s="753"/>
      <c r="AA235" s="753"/>
      <c r="AB235" s="753"/>
      <c r="AC235" s="753"/>
      <c r="AD235" s="753"/>
      <c r="AE235" s="753"/>
      <c r="AF235" s="753"/>
      <c r="AG235" s="753"/>
      <c r="AH235" s="753"/>
    </row>
    <row r="236" spans="3:34">
      <c r="C236" s="762"/>
      <c r="D236" s="542"/>
      <c r="E236" s="542"/>
      <c r="F236" s="542"/>
      <c r="G236" s="542"/>
      <c r="H236" s="145">
        <v>46</v>
      </c>
      <c r="I236" s="540" t="str">
        <f t="shared" si="106"/>
        <v>III</v>
      </c>
      <c r="J236" s="540" t="str">
        <f t="shared" si="107"/>
        <v>III</v>
      </c>
      <c r="K236" s="859"/>
      <c r="L236" s="532">
        <f t="shared" si="110"/>
        <v>45.8</v>
      </c>
      <c r="M236" s="540" t="str">
        <f t="shared" si="108"/>
        <v>III</v>
      </c>
      <c r="N236" s="540" t="str">
        <f t="shared" si="109"/>
        <v>III</v>
      </c>
      <c r="P236" s="753"/>
      <c r="Q236" s="753"/>
      <c r="R236" s="753"/>
      <c r="S236" s="753"/>
      <c r="T236" s="753"/>
      <c r="U236" s="753"/>
      <c r="V236" s="753"/>
      <c r="W236" s="753"/>
      <c r="X236" s="753"/>
      <c r="Y236" s="753"/>
      <c r="Z236" s="753"/>
      <c r="AA236" s="753"/>
      <c r="AB236" s="753"/>
      <c r="AC236" s="753"/>
      <c r="AD236" s="753"/>
      <c r="AE236" s="753"/>
      <c r="AF236" s="753"/>
      <c r="AG236" s="753"/>
      <c r="AH236" s="753"/>
    </row>
    <row r="237" spans="3:34">
      <c r="C237" s="762"/>
      <c r="D237" s="542"/>
      <c r="E237" s="542"/>
      <c r="F237" s="542"/>
      <c r="G237" s="542"/>
      <c r="H237" s="145">
        <v>50.4</v>
      </c>
      <c r="I237" s="540" t="str">
        <f t="shared" si="106"/>
        <v>I юн</v>
      </c>
      <c r="J237" s="540" t="str">
        <f t="shared" si="107"/>
        <v>I юн</v>
      </c>
      <c r="K237" s="859"/>
      <c r="L237" s="532">
        <f t="shared" si="110"/>
        <v>50.199999999999996</v>
      </c>
      <c r="M237" s="540" t="str">
        <f t="shared" si="108"/>
        <v>I юн</v>
      </c>
      <c r="N237" s="540" t="str">
        <f t="shared" si="109"/>
        <v>I юн</v>
      </c>
      <c r="P237" s="753"/>
      <c r="Q237" s="753"/>
      <c r="R237" s="753"/>
      <c r="S237" s="753"/>
      <c r="T237" s="753"/>
      <c r="U237" s="753"/>
      <c r="V237" s="753"/>
      <c r="W237" s="753"/>
      <c r="X237" s="753"/>
      <c r="Y237" s="753"/>
      <c r="Z237" s="753"/>
      <c r="AA237" s="753"/>
      <c r="AB237" s="753"/>
      <c r="AC237" s="753"/>
      <c r="AD237" s="753"/>
      <c r="AE237" s="753"/>
      <c r="AF237" s="753"/>
      <c r="AG237" s="753"/>
      <c r="AH237" s="753"/>
    </row>
    <row r="238" spans="3:34">
      <c r="C238" s="762"/>
      <c r="D238" s="542"/>
      <c r="E238" s="542"/>
      <c r="F238" s="542"/>
      <c r="G238" s="542"/>
      <c r="H238" s="145">
        <v>55</v>
      </c>
      <c r="I238" s="540" t="str">
        <f t="shared" si="106"/>
        <v>II юн</v>
      </c>
      <c r="J238" s="540" t="str">
        <f t="shared" si="107"/>
        <v>II юн</v>
      </c>
      <c r="K238" s="859"/>
      <c r="L238" s="532">
        <f t="shared" si="110"/>
        <v>54.8</v>
      </c>
      <c r="M238" s="540" t="str">
        <f t="shared" si="108"/>
        <v>II юн</v>
      </c>
      <c r="N238" s="540" t="str">
        <f t="shared" si="109"/>
        <v>II юн</v>
      </c>
      <c r="P238" s="753"/>
      <c r="Q238" s="753"/>
      <c r="R238" s="753"/>
      <c r="S238" s="753"/>
      <c r="T238" s="753"/>
      <c r="U238" s="753"/>
      <c r="V238" s="753"/>
      <c r="W238" s="753"/>
      <c r="X238" s="753"/>
      <c r="Y238" s="753"/>
      <c r="Z238" s="753"/>
      <c r="AA238" s="753"/>
      <c r="AB238" s="753"/>
      <c r="AC238" s="753"/>
      <c r="AD238" s="753"/>
      <c r="AE238" s="753"/>
      <c r="AF238" s="753"/>
      <c r="AG238" s="753"/>
      <c r="AH238" s="753"/>
    </row>
    <row r="239" spans="3:34">
      <c r="C239" s="762"/>
      <c r="D239" s="542"/>
      <c r="E239" s="542"/>
      <c r="F239" s="542"/>
      <c r="G239" s="542"/>
      <c r="H239" s="145">
        <v>59.6</v>
      </c>
      <c r="I239" s="540" t="str">
        <f>IF(ISBLANK(H239)," ",IF(ISTEXT(H239)," ",IF(H239&lt;=33.1,"МСМК",IF(H239&lt;=34.7,"МС",IF(H239&lt;=36.4,"КМС",IF(H239&lt;=40,"I",IF(H239&lt;=42.3,"II",IF(H239&lt;=46,"III",IF(H239&lt;=50.4,"I юн",IF(H239&lt;=55,"II юн",IF(H239&lt;=59.6,"III юн","б/р")))))))))))</f>
        <v>III юн</v>
      </c>
      <c r="J239" s="540" t="str">
        <f>IF(ISBLANK(H239)," ",IF(ISTEXT(H239)," ",IF(H239&lt;=33.1,"МСМК",IF(H239&lt;=34.7,"МС",IF(H239&lt;=36.4,"КМС",IF(H239&lt;=40,"I",IF(H239&lt;=42.3,"II",IF(H239&lt;=46,"III",IF(H239&lt;=50.4,"I юн",IF(H239&lt;=55,"II юн",IF(H239&lt;=59.6,"III юн","б/р")))))))))))</f>
        <v>III юн</v>
      </c>
      <c r="K239" s="859"/>
      <c r="L239" s="532">
        <f t="shared" si="110"/>
        <v>59.4</v>
      </c>
      <c r="M239" s="540" t="str">
        <f t="shared" si="108"/>
        <v>III юн</v>
      </c>
      <c r="N239" s="540" t="str">
        <f t="shared" si="109"/>
        <v>III юн</v>
      </c>
      <c r="P239" s="753"/>
      <c r="Q239" s="753"/>
      <c r="R239" s="753"/>
      <c r="S239" s="753"/>
      <c r="T239" s="753"/>
      <c r="U239" s="753"/>
      <c r="V239" s="753"/>
      <c r="W239" s="753"/>
      <c r="X239" s="753"/>
      <c r="Y239" s="753"/>
      <c r="Z239" s="753"/>
      <c r="AA239" s="753"/>
      <c r="AB239" s="753"/>
      <c r="AC239" s="753"/>
      <c r="AD239" s="753"/>
      <c r="AE239" s="753"/>
      <c r="AF239" s="753"/>
      <c r="AG239" s="753"/>
      <c r="AH239" s="753"/>
    </row>
    <row r="240" spans="3:34">
      <c r="C240" s="762"/>
      <c r="D240" s="542"/>
      <c r="E240" s="542"/>
      <c r="F240" s="542"/>
      <c r="G240" s="542"/>
      <c r="H240" s="532"/>
      <c r="I240" s="540" t="str">
        <f>IF(ISBLANK(H240)," ",IF(ISTEXT(H240)," ",IF(H240&lt;=33,"МСМК",IF(H240&lt;=34.6,"МС",IF(H240&lt;=36.3,"КМС",IF(H240&lt;=38.9,"I",IF(H240&lt;=42.2,"II",IF(H240&lt;=45.9,"III",IF(H240&lt;=50.2,"I юн",IF(H240&lt;=54.8,"II юн",IF(H240&lt;=59.4,"III юн","б/р")))))))))))</f>
        <v xml:space="preserve"> </v>
      </c>
      <c r="J240" s="531" t="str">
        <f>IF(ISBLANK(H240)," ",IF(ISTEXT(H240)," ",IF(H240&lt;=33,"МСМК",IF(H240&lt;=34.6,"МС",IF(H240&lt;=36.3,"КМС",IF(H240&lt;=38.9,"I",IF(H240&lt;=42.2,"II",IF(H240&lt;=45.9,"III",IF(H240&lt;=50.2,"I юн",IF(H240&lt;=54.8,"II юн",IF(H240&lt;=59.4,"III юн","б/р")))))))))))</f>
        <v xml:space="preserve"> </v>
      </c>
      <c r="K240" s="859"/>
      <c r="P240" s="753"/>
      <c r="Q240" s="753"/>
      <c r="R240" s="753"/>
      <c r="S240" s="753"/>
      <c r="T240" s="753"/>
      <c r="U240" s="753"/>
      <c r="V240" s="753"/>
      <c r="W240" s="753"/>
      <c r="X240" s="753"/>
      <c r="Y240" s="753"/>
      <c r="Z240" s="753"/>
      <c r="AA240" s="753"/>
      <c r="AB240" s="753"/>
      <c r="AC240" s="753"/>
      <c r="AD240" s="753"/>
      <c r="AE240" s="753"/>
      <c r="AF240" s="753"/>
      <c r="AG240" s="753"/>
      <c r="AH240" s="753"/>
    </row>
    <row r="241" spans="3:34">
      <c r="C241" s="524" t="s">
        <v>1266</v>
      </c>
      <c r="D241" s="525"/>
      <c r="E241" s="526"/>
      <c r="F241" s="524"/>
      <c r="G241" s="524"/>
      <c r="H241" s="527"/>
      <c r="I241" s="532"/>
      <c r="J241" s="542"/>
      <c r="K241" s="860"/>
      <c r="P241" s="753"/>
      <c r="Q241" s="753"/>
      <c r="R241" s="753"/>
      <c r="S241" s="753"/>
      <c r="T241" s="753"/>
      <c r="U241" s="753"/>
      <c r="V241" s="753"/>
      <c r="W241" s="753"/>
      <c r="X241" s="753"/>
      <c r="Y241" s="753"/>
      <c r="Z241" s="753"/>
      <c r="AA241" s="753"/>
      <c r="AB241" s="753"/>
      <c r="AC241" s="753"/>
      <c r="AD241" s="753"/>
      <c r="AE241" s="753"/>
      <c r="AF241" s="753"/>
      <c r="AG241" s="753"/>
      <c r="AH241" s="753"/>
    </row>
    <row r="242" spans="3:34">
      <c r="C242" s="1015"/>
      <c r="D242" s="531"/>
      <c r="E242" s="586"/>
      <c r="F242" s="1015"/>
      <c r="G242" s="1015"/>
      <c r="H242" s="532">
        <v>0</v>
      </c>
      <c r="I242" s="540" t="str">
        <f t="shared" ref="I242:I247" si="111">IF(ISBLANK(H242)," ",IF(ISTEXT(H242)," ",IF(H242&lt;=304.6,"МСМК",IF(H242&lt;=314.4,"МС",IF(H242&lt;=323.2,"КМС",IF(H242&lt;=338.2,"I",IF(H242&lt;=356.2,"II",IF(H242&lt;=415.2,"III","б/р"))))))))</f>
        <v>МСМК</v>
      </c>
      <c r="J242" s="540" t="str">
        <f t="shared" ref="J242:J247" si="112">IF(ISBLANK(H242)," ",IF(ISTEXT(H242)," ",IF(H242&lt;=304.6,"МСМК",IF(H242&lt;=314.4,"МС",IF(H242&lt;=323.2,"КМС",IF(H242&lt;=338.2,"I",IF(H242&lt;=356.2,"II",IF(H242&lt;=415.2,"III","б/р"))))))))</f>
        <v>МСМК</v>
      </c>
      <c r="K242" s="859"/>
      <c r="L242" s="749">
        <v>0</v>
      </c>
      <c r="M242" s="747" t="str">
        <f t="shared" ref="M242:M247" si="113">IF(ISBLANK(L242)," ",IF(ISTEXT(L242)," ",IF(L242&lt;=304.6,"МСМК",IF(L242&lt;=314.4,"МС",IF(L242&lt;=323,"КМС",IF(L242&lt;=338,"I",IF(L242&lt;=356,"II",IF(L242&lt;=415,"III","б/р"))))))))</f>
        <v>МСМК</v>
      </c>
      <c r="N242" s="747" t="str">
        <f t="shared" ref="N242:N247" si="114">IF(ISBLANK(L242)," ",IF(ISTEXT(L242)," ",IF(L242&lt;=304.6,"МСМК",IF(L242&lt;=314.4,"МС",IF(L242&lt;=323,"КМС",IF(L242&lt;=338,"I",IF(L242&lt;=356,"II",IF(L242&lt;=415,"III","б/р"))))))))</f>
        <v>МСМК</v>
      </c>
      <c r="P242" s="753"/>
      <c r="Q242" s="753"/>
      <c r="R242" s="753"/>
      <c r="S242" s="753"/>
      <c r="T242" s="753"/>
      <c r="U242" s="753"/>
      <c r="V242" s="753"/>
      <c r="W242" s="753"/>
      <c r="X242" s="753"/>
      <c r="Y242" s="753"/>
      <c r="Z242" s="753"/>
      <c r="AA242" s="753"/>
      <c r="AB242" s="753"/>
      <c r="AC242" s="753"/>
      <c r="AD242" s="753"/>
      <c r="AE242" s="753"/>
      <c r="AF242" s="753"/>
      <c r="AG242" s="753"/>
      <c r="AH242" s="753"/>
    </row>
    <row r="243" spans="3:34">
      <c r="C243" s="1015"/>
      <c r="D243" s="531"/>
      <c r="E243" s="586"/>
      <c r="F243" s="1015"/>
      <c r="G243" s="1015"/>
      <c r="H243" s="532">
        <v>0</v>
      </c>
      <c r="I243" s="540" t="str">
        <f t="shared" si="111"/>
        <v>МСМК</v>
      </c>
      <c r="J243" s="540" t="str">
        <f t="shared" si="112"/>
        <v>МСМК</v>
      </c>
      <c r="K243" s="859"/>
      <c r="L243" s="749">
        <v>0</v>
      </c>
      <c r="M243" s="747" t="str">
        <f t="shared" si="113"/>
        <v>МСМК</v>
      </c>
      <c r="N243" s="747" t="str">
        <f t="shared" si="114"/>
        <v>МСМК</v>
      </c>
      <c r="P243" s="753"/>
      <c r="Q243" s="753"/>
      <c r="R243" s="753"/>
      <c r="S243" s="753"/>
      <c r="T243" s="753"/>
      <c r="U243" s="753"/>
      <c r="V243" s="753"/>
      <c r="W243" s="753"/>
      <c r="X243" s="753"/>
      <c r="Y243" s="753"/>
      <c r="Z243" s="753"/>
      <c r="AA243" s="753"/>
      <c r="AB243" s="753"/>
      <c r="AC243" s="753"/>
      <c r="AD243" s="753"/>
      <c r="AE243" s="753"/>
      <c r="AF243" s="753"/>
      <c r="AG243" s="753"/>
      <c r="AH243" s="753"/>
    </row>
    <row r="244" spans="3:34">
      <c r="C244" s="1015"/>
      <c r="D244" s="531"/>
      <c r="E244" s="586"/>
      <c r="F244" s="1015"/>
      <c r="G244" s="1015"/>
      <c r="H244" s="532">
        <v>0</v>
      </c>
      <c r="I244" s="540" t="str">
        <f t="shared" si="111"/>
        <v>МСМК</v>
      </c>
      <c r="J244" s="540" t="str">
        <f t="shared" si="112"/>
        <v>МСМК</v>
      </c>
      <c r="K244" s="859"/>
      <c r="L244" s="532">
        <v>0</v>
      </c>
      <c r="M244" s="540" t="str">
        <f t="shared" si="113"/>
        <v>МСМК</v>
      </c>
      <c r="N244" s="540" t="str">
        <f t="shared" si="114"/>
        <v>МСМК</v>
      </c>
      <c r="P244" s="753"/>
      <c r="Q244" s="753"/>
      <c r="R244" s="753"/>
      <c r="S244" s="753"/>
      <c r="T244" s="753"/>
      <c r="U244" s="753"/>
      <c r="V244" s="753"/>
      <c r="W244" s="753"/>
      <c r="X244" s="753"/>
      <c r="Y244" s="753"/>
      <c r="Z244" s="753"/>
      <c r="AA244" s="753"/>
      <c r="AB244" s="753"/>
      <c r="AC244" s="753"/>
      <c r="AD244" s="753"/>
      <c r="AE244" s="753"/>
      <c r="AF244" s="753"/>
      <c r="AG244" s="753"/>
      <c r="AH244" s="753"/>
    </row>
    <row r="245" spans="3:34">
      <c r="C245" s="1015"/>
      <c r="D245" s="531"/>
      <c r="E245" s="586"/>
      <c r="F245" s="1015"/>
      <c r="G245" s="1015"/>
      <c r="H245" s="532">
        <v>0</v>
      </c>
      <c r="I245" s="540" t="str">
        <f t="shared" si="111"/>
        <v>МСМК</v>
      </c>
      <c r="J245" s="540" t="str">
        <f t="shared" si="112"/>
        <v>МСМК</v>
      </c>
      <c r="K245" s="859"/>
      <c r="L245" s="532">
        <v>0</v>
      </c>
      <c r="M245" s="540" t="str">
        <f t="shared" si="113"/>
        <v>МСМК</v>
      </c>
      <c r="N245" s="540" t="str">
        <f t="shared" si="114"/>
        <v>МСМК</v>
      </c>
      <c r="P245" s="753"/>
      <c r="Q245" s="753"/>
      <c r="R245" s="753"/>
      <c r="S245" s="753"/>
      <c r="T245" s="753"/>
      <c r="U245" s="753"/>
      <c r="V245" s="753"/>
      <c r="W245" s="753"/>
      <c r="X245" s="753"/>
      <c r="Y245" s="753"/>
      <c r="Z245" s="753"/>
      <c r="AA245" s="753"/>
      <c r="AB245" s="753"/>
      <c r="AC245" s="753"/>
      <c r="AD245" s="753"/>
      <c r="AE245" s="753"/>
      <c r="AF245" s="753"/>
      <c r="AG245" s="753"/>
      <c r="AH245" s="753"/>
    </row>
    <row r="246" spans="3:34">
      <c r="C246" s="1015"/>
      <c r="D246" s="531"/>
      <c r="E246" s="586"/>
      <c r="F246" s="1015"/>
      <c r="G246" s="1015"/>
      <c r="H246" s="532">
        <v>0</v>
      </c>
      <c r="I246" s="540" t="str">
        <f t="shared" si="111"/>
        <v>МСМК</v>
      </c>
      <c r="J246" s="540" t="str">
        <f t="shared" si="112"/>
        <v>МСМК</v>
      </c>
      <c r="K246" s="859"/>
      <c r="L246" s="532">
        <v>0</v>
      </c>
      <c r="M246" s="540" t="str">
        <f t="shared" si="113"/>
        <v>МСМК</v>
      </c>
      <c r="N246" s="540" t="str">
        <f t="shared" si="114"/>
        <v>МСМК</v>
      </c>
      <c r="P246" s="753"/>
      <c r="Q246" s="753"/>
      <c r="R246" s="753"/>
      <c r="S246" s="753"/>
      <c r="T246" s="753"/>
      <c r="U246" s="753"/>
      <c r="V246" s="753"/>
      <c r="W246" s="753"/>
      <c r="X246" s="753"/>
      <c r="Y246" s="753"/>
      <c r="Z246" s="753"/>
      <c r="AA246" s="753"/>
      <c r="AB246" s="753"/>
      <c r="AC246" s="753"/>
      <c r="AD246" s="753"/>
      <c r="AE246" s="753"/>
      <c r="AF246" s="753"/>
      <c r="AG246" s="753"/>
      <c r="AH246" s="753"/>
    </row>
    <row r="247" spans="3:34">
      <c r="C247" s="1015"/>
      <c r="D247" s="531"/>
      <c r="E247" s="586"/>
      <c r="F247" s="1015"/>
      <c r="G247" s="1015"/>
      <c r="H247" s="532">
        <v>0</v>
      </c>
      <c r="I247" s="540" t="str">
        <f t="shared" si="111"/>
        <v>МСМК</v>
      </c>
      <c r="J247" s="540" t="str">
        <f t="shared" si="112"/>
        <v>МСМК</v>
      </c>
      <c r="K247" s="859"/>
      <c r="L247" s="532">
        <v>0</v>
      </c>
      <c r="M247" s="540" t="str">
        <f t="shared" si="113"/>
        <v>МСМК</v>
      </c>
      <c r="N247" s="540" t="str">
        <f t="shared" si="114"/>
        <v>МСМК</v>
      </c>
      <c r="P247" s="753"/>
      <c r="Q247" s="753"/>
      <c r="R247" s="753"/>
      <c r="S247" s="753"/>
      <c r="T247" s="753"/>
      <c r="U247" s="753"/>
      <c r="V247" s="753"/>
      <c r="W247" s="753"/>
      <c r="X247" s="753"/>
      <c r="Y247" s="753"/>
      <c r="Z247" s="753"/>
      <c r="AA247" s="753"/>
      <c r="AB247" s="753"/>
      <c r="AC247" s="753"/>
      <c r="AD247" s="753"/>
      <c r="AE247" s="753"/>
      <c r="AF247" s="753"/>
      <c r="AG247" s="753"/>
      <c r="AH247" s="753"/>
    </row>
    <row r="248" spans="3:34">
      <c r="C248" s="1015"/>
      <c r="D248" s="531"/>
      <c r="E248" s="586"/>
      <c r="F248" s="1015"/>
      <c r="G248" s="1015"/>
      <c r="H248" s="532"/>
      <c r="I248" s="532"/>
      <c r="J248" s="542"/>
      <c r="K248" s="860"/>
      <c r="P248" s="743"/>
      <c r="Q248" s="743"/>
      <c r="R248" s="743"/>
      <c r="S248" s="743"/>
      <c r="T248" s="754"/>
      <c r="U248" s="754"/>
      <c r="V248" s="754"/>
      <c r="W248" s="754"/>
      <c r="X248" s="754"/>
      <c r="Y248" s="754"/>
      <c r="Z248" s="754"/>
      <c r="AA248" s="754"/>
      <c r="AB248" s="753"/>
      <c r="AC248" s="753"/>
      <c r="AD248" s="753"/>
      <c r="AE248" s="753"/>
      <c r="AF248" s="753"/>
      <c r="AG248" s="753"/>
      <c r="AH248" s="753"/>
    </row>
    <row r="249" spans="3:34">
      <c r="C249" s="524" t="s">
        <v>1267</v>
      </c>
      <c r="D249" s="542"/>
      <c r="E249" s="542"/>
      <c r="F249" s="542"/>
      <c r="G249" s="542"/>
      <c r="H249" s="532"/>
      <c r="I249" s="532"/>
      <c r="J249" s="542"/>
      <c r="K249" s="860"/>
      <c r="P249" s="742"/>
      <c r="Q249" s="742"/>
      <c r="R249" s="742"/>
      <c r="S249" s="742"/>
      <c r="T249" s="742"/>
      <c r="U249" s="742"/>
      <c r="V249" s="742"/>
      <c r="W249" s="742"/>
      <c r="X249" s="742"/>
      <c r="Y249" s="742"/>
      <c r="Z249" s="742"/>
      <c r="AA249" s="742"/>
      <c r="AB249" s="753"/>
      <c r="AC249" s="753"/>
      <c r="AD249" s="753"/>
      <c r="AE249" s="753"/>
      <c r="AF249" s="753"/>
      <c r="AG249" s="753"/>
      <c r="AH249" s="753"/>
    </row>
    <row r="250" spans="3:34">
      <c r="C250" s="542"/>
      <c r="D250" s="542"/>
      <c r="E250" s="542"/>
      <c r="F250" s="542"/>
      <c r="G250" s="542"/>
      <c r="H250" s="532">
        <v>0</v>
      </c>
      <c r="I250" s="540" t="str">
        <f t="shared" ref="I250:I255" si="115">IF(ISBLANK(H250)," ",IF(ISTEXT(H250)," ",IF(H250&lt;=250.2,"МСМК",IF(H250&lt;=259.2,"МС",IF(H250&lt;=307.9,"КМС",IF(H250&lt;=321.2,"I",IF(H250&lt;=338.2,"II",IF(H250&lt;=356.7,"III","б/р"))))))))</f>
        <v>МСМК</v>
      </c>
      <c r="J250" s="540" t="str">
        <f t="shared" ref="J250:J255" si="116">IF(ISBLANK(H250)," ",IF(ISTEXT(H250)," ",IF(H250&lt;=250.2,"МСМК",IF(H250&lt;=259.2,"МС",IF(H250&lt;=307.9,"КМС",IF(H250&lt;=321.2,"I",IF(H250&lt;=338.2,"II",IF(H250&lt;=356.7,"III","б/р"))))))))</f>
        <v>МСМК</v>
      </c>
      <c r="K250" s="859"/>
      <c r="L250" s="749">
        <v>0</v>
      </c>
      <c r="M250" s="747" t="str">
        <f t="shared" ref="M250:M255" si="117">IF(ISBLANK(L250)," ",IF(ISTEXT(L250)," ",IF(L250&lt;=250.2,"МСМК",IF(L250&lt;=259.2,"МС",IF(L250&lt;=307.7,"КМС",IF(L250&lt;=321,"I",IF(L250&lt;=338,"II",IF(L250&lt;=356.5,"III","б/р"))))))))</f>
        <v>МСМК</v>
      </c>
      <c r="N250" s="747" t="str">
        <f t="shared" ref="N250:N255" si="118">IF(ISBLANK(L250)," ",IF(ISTEXT(L250)," ",IF(L250&lt;=250.2,"МСМК",IF(L250&lt;=259.2,"МС",IF(L250&lt;=307.7,"КМС",IF(L250&lt;=321,"I",IF(L250&lt;=338,"II",IF(L250&lt;=356.5,"III","б/р"))))))))</f>
        <v>МСМК</v>
      </c>
      <c r="P250" s="753"/>
      <c r="Q250" s="753"/>
      <c r="R250" s="753"/>
      <c r="S250" s="753"/>
      <c r="T250" s="753"/>
      <c r="U250" s="753"/>
      <c r="V250" s="753"/>
      <c r="W250" s="753"/>
      <c r="X250" s="753"/>
      <c r="Y250" s="753"/>
      <c r="Z250" s="753"/>
      <c r="AA250" s="753"/>
      <c r="AB250" s="753"/>
      <c r="AC250" s="753"/>
      <c r="AD250" s="753"/>
      <c r="AE250" s="753"/>
      <c r="AF250" s="753"/>
      <c r="AG250" s="753"/>
      <c r="AH250" s="753"/>
    </row>
    <row r="251" spans="3:34">
      <c r="C251" s="542"/>
      <c r="D251" s="542"/>
      <c r="E251" s="542"/>
      <c r="F251" s="542"/>
      <c r="G251" s="542"/>
      <c r="H251" s="532">
        <v>0</v>
      </c>
      <c r="I251" s="540" t="str">
        <f t="shared" si="115"/>
        <v>МСМК</v>
      </c>
      <c r="J251" s="540" t="str">
        <f t="shared" si="116"/>
        <v>МСМК</v>
      </c>
      <c r="K251" s="859"/>
      <c r="L251" s="749">
        <v>0</v>
      </c>
      <c r="M251" s="747" t="str">
        <f t="shared" si="117"/>
        <v>МСМК</v>
      </c>
      <c r="N251" s="747" t="str">
        <f t="shared" si="118"/>
        <v>МСМК</v>
      </c>
      <c r="P251" s="753"/>
      <c r="Q251" s="753"/>
      <c r="R251" s="753"/>
      <c r="S251" s="753"/>
      <c r="T251" s="753"/>
      <c r="U251" s="753"/>
      <c r="V251" s="753"/>
      <c r="W251" s="753"/>
      <c r="X251" s="753"/>
      <c r="Y251" s="753"/>
      <c r="Z251" s="753"/>
      <c r="AA251" s="753"/>
      <c r="AB251" s="753"/>
      <c r="AC251" s="753"/>
      <c r="AD251" s="753"/>
      <c r="AE251" s="753"/>
      <c r="AF251" s="753"/>
      <c r="AG251" s="753"/>
      <c r="AH251" s="753"/>
    </row>
    <row r="252" spans="3:34">
      <c r="C252" s="542"/>
      <c r="D252" s="542"/>
      <c r="E252" s="542"/>
      <c r="F252" s="542"/>
      <c r="G252" s="542"/>
      <c r="H252" s="532">
        <v>0</v>
      </c>
      <c r="I252" s="540" t="str">
        <f t="shared" si="115"/>
        <v>МСМК</v>
      </c>
      <c r="J252" s="540" t="str">
        <f t="shared" si="116"/>
        <v>МСМК</v>
      </c>
      <c r="K252" s="859"/>
      <c r="L252" s="532">
        <v>0</v>
      </c>
      <c r="M252" s="540" t="str">
        <f t="shared" si="117"/>
        <v>МСМК</v>
      </c>
      <c r="N252" s="540" t="str">
        <f t="shared" si="118"/>
        <v>МСМК</v>
      </c>
      <c r="P252" s="753"/>
      <c r="Q252" s="753"/>
      <c r="R252" s="753"/>
      <c r="S252" s="753"/>
      <c r="T252" s="753"/>
      <c r="U252" s="753"/>
      <c r="V252" s="753"/>
      <c r="W252" s="753"/>
      <c r="X252" s="753"/>
      <c r="Y252" s="753"/>
      <c r="Z252" s="753"/>
      <c r="AA252" s="753"/>
      <c r="AB252" s="753"/>
      <c r="AC252" s="753"/>
      <c r="AD252" s="753"/>
      <c r="AE252" s="753"/>
      <c r="AF252" s="753"/>
      <c r="AG252" s="753"/>
      <c r="AH252" s="753"/>
    </row>
    <row r="253" spans="3:34">
      <c r="C253" s="542"/>
      <c r="D253" s="542"/>
      <c r="E253" s="542"/>
      <c r="F253" s="542"/>
      <c r="G253" s="542"/>
      <c r="H253" s="532">
        <v>0</v>
      </c>
      <c r="I253" s="540" t="str">
        <f t="shared" si="115"/>
        <v>МСМК</v>
      </c>
      <c r="J253" s="540" t="str">
        <f t="shared" si="116"/>
        <v>МСМК</v>
      </c>
      <c r="K253" s="859"/>
      <c r="L253" s="532">
        <v>0</v>
      </c>
      <c r="M253" s="540" t="str">
        <f t="shared" si="117"/>
        <v>МСМК</v>
      </c>
      <c r="N253" s="540" t="str">
        <f t="shared" si="118"/>
        <v>МСМК</v>
      </c>
      <c r="P253" s="753"/>
      <c r="Q253" s="753"/>
      <c r="R253" s="753"/>
      <c r="S253" s="753"/>
      <c r="T253" s="753"/>
      <c r="U253" s="753"/>
      <c r="V253" s="753"/>
      <c r="W253" s="753"/>
      <c r="X253" s="753"/>
      <c r="Y253" s="753"/>
      <c r="Z253" s="753"/>
      <c r="AA253" s="753"/>
      <c r="AB253" s="753"/>
      <c r="AC253" s="753"/>
      <c r="AD253" s="753"/>
      <c r="AE253" s="753"/>
      <c r="AF253" s="753"/>
      <c r="AG253" s="753"/>
      <c r="AH253" s="753"/>
    </row>
    <row r="254" spans="3:34">
      <c r="C254" s="542"/>
      <c r="D254" s="542"/>
      <c r="E254" s="542"/>
      <c r="F254" s="542"/>
      <c r="G254" s="542"/>
      <c r="H254" s="532">
        <v>0</v>
      </c>
      <c r="I254" s="540" t="str">
        <f t="shared" si="115"/>
        <v>МСМК</v>
      </c>
      <c r="J254" s="540" t="str">
        <f t="shared" si="116"/>
        <v>МСМК</v>
      </c>
      <c r="K254" s="859"/>
      <c r="L254" s="532">
        <v>0</v>
      </c>
      <c r="M254" s="540" t="str">
        <f t="shared" si="117"/>
        <v>МСМК</v>
      </c>
      <c r="N254" s="540" t="str">
        <f t="shared" si="118"/>
        <v>МСМК</v>
      </c>
      <c r="P254" s="753"/>
      <c r="Q254" s="753"/>
      <c r="R254" s="753"/>
      <c r="S254" s="753"/>
      <c r="T254" s="753"/>
      <c r="U254" s="753"/>
      <c r="V254" s="753"/>
      <c r="W254" s="753"/>
      <c r="X254" s="753"/>
      <c r="Y254" s="753"/>
      <c r="Z254" s="753"/>
      <c r="AA254" s="753"/>
      <c r="AB254" s="753"/>
      <c r="AC254" s="753"/>
      <c r="AD254" s="753"/>
      <c r="AE254" s="753"/>
      <c r="AF254" s="753"/>
      <c r="AG254" s="753"/>
      <c r="AH254" s="753"/>
    </row>
    <row r="255" spans="3:34">
      <c r="C255" s="542"/>
      <c r="D255" s="542"/>
      <c r="E255" s="542"/>
      <c r="F255" s="542"/>
      <c r="G255" s="542"/>
      <c r="H255" s="532">
        <v>0</v>
      </c>
      <c r="I255" s="540" t="str">
        <f t="shared" si="115"/>
        <v>МСМК</v>
      </c>
      <c r="J255" s="540" t="str">
        <f t="shared" si="116"/>
        <v>МСМК</v>
      </c>
      <c r="K255" s="859"/>
      <c r="L255" s="532">
        <v>0</v>
      </c>
      <c r="M255" s="540" t="str">
        <f t="shared" si="117"/>
        <v>МСМК</v>
      </c>
      <c r="N255" s="540" t="str">
        <f t="shared" si="118"/>
        <v>МСМК</v>
      </c>
      <c r="P255" s="753"/>
      <c r="Q255" s="753"/>
      <c r="R255" s="753"/>
      <c r="S255" s="753"/>
      <c r="T255" s="753"/>
      <c r="U255" s="753"/>
      <c r="V255" s="753"/>
      <c r="W255" s="753"/>
      <c r="X255" s="753"/>
      <c r="Y255" s="753"/>
      <c r="Z255" s="753"/>
      <c r="AA255" s="753"/>
      <c r="AB255" s="753"/>
      <c r="AC255" s="753"/>
      <c r="AD255" s="753"/>
      <c r="AE255" s="753"/>
      <c r="AF255" s="753"/>
      <c r="AG255" s="753"/>
      <c r="AH255" s="753"/>
    </row>
    <row r="256" spans="3:34">
      <c r="C256" s="542"/>
      <c r="D256" s="542"/>
      <c r="E256" s="542"/>
      <c r="F256" s="542"/>
      <c r="G256" s="542"/>
      <c r="H256" s="532"/>
      <c r="I256" s="540" t="str">
        <f>IF(ISBLANK(H256)," ",IF(ISTEXT(H256)," ",IF(H256&lt;=251,"МСМК",IF(H256&lt;=259.6,"МС",IF(H256&lt;=308.1,"КМС",IF(H256&lt;=321.8,"I",IF(H256&lt;=338.9,"II",IF(H256&lt;=357.7,"III","б/р"))))))))</f>
        <v xml:space="preserve"> </v>
      </c>
      <c r="J256" s="531" t="str">
        <f>IF(ISBLANK(H256)," ",IF(ISTEXT(H256)," ",IF(H256&lt;=251,"МСМК",IF(H256&lt;=259.6,"МС",IF(H256&lt;=308.1,"КМС",IF(H256&lt;=321.8,"I",IF(H256&lt;=338.9,"II",IF(H256&lt;=357.7,"III","б/р"))))))))</f>
        <v xml:space="preserve"> </v>
      </c>
      <c r="K256" s="859"/>
      <c r="P256" s="753"/>
      <c r="Q256" s="753"/>
      <c r="R256" s="753"/>
      <c r="S256" s="753"/>
      <c r="T256" s="753"/>
      <c r="U256" s="753"/>
      <c r="V256" s="753"/>
      <c r="W256" s="753"/>
      <c r="X256" s="753"/>
      <c r="Y256" s="753"/>
      <c r="Z256" s="753"/>
      <c r="AA256" s="753"/>
      <c r="AB256" s="753"/>
      <c r="AC256" s="753"/>
      <c r="AD256" s="753"/>
      <c r="AE256" s="753"/>
      <c r="AF256" s="753"/>
      <c r="AG256" s="753"/>
      <c r="AH256" s="753"/>
    </row>
    <row r="257" spans="3:34">
      <c r="C257" s="524" t="s">
        <v>137</v>
      </c>
      <c r="D257" s="525"/>
      <c r="E257" s="526"/>
      <c r="F257" s="524"/>
      <c r="G257" s="524"/>
      <c r="H257" s="527"/>
      <c r="I257" s="532"/>
      <c r="J257" s="542"/>
      <c r="K257" s="860"/>
      <c r="P257" s="753"/>
      <c r="Q257" s="753"/>
      <c r="R257" s="753"/>
      <c r="S257" s="753"/>
      <c r="T257" s="753"/>
      <c r="U257" s="753"/>
      <c r="V257" s="753"/>
      <c r="W257" s="753"/>
      <c r="X257" s="753"/>
      <c r="Y257" s="753"/>
      <c r="Z257" s="753"/>
      <c r="AA257" s="753"/>
      <c r="AB257" s="753"/>
      <c r="AC257" s="753"/>
      <c r="AD257" s="753"/>
      <c r="AE257" s="753"/>
      <c r="AF257" s="753"/>
      <c r="AG257" s="753"/>
      <c r="AH257" s="753"/>
    </row>
    <row r="258" spans="3:34">
      <c r="C258" s="762"/>
      <c r="D258" s="531"/>
      <c r="E258" s="586"/>
      <c r="F258" s="762"/>
      <c r="G258" s="762"/>
      <c r="H258" s="532">
        <v>304.60000000000002</v>
      </c>
      <c r="I258" s="540" t="str">
        <f t="shared" ref="I258:I263" si="119">IF(ISBLANK(H258)," ",IF(ISTEXT(H258)," ",IF(H258&lt;=304.6,"МСМК",IF(H258&lt;=314.4,"МС",IF(H258&lt;=323.2,"КМС",IF(H258&lt;=338.2,"I",IF(H258&lt;=356.2,"II",IF(H258&lt;=415.2,"III","б/р"))))))))</f>
        <v>МСМК</v>
      </c>
      <c r="J258" s="540" t="str">
        <f t="shared" ref="J258:J263" si="120">IF(ISBLANK(H258)," ",IF(ISTEXT(H258)," ",IF(H258&lt;=304.6,"МСМК",IF(H258&lt;=314.4,"МС",IF(H258&lt;=323.2,"КМС",IF(H258&lt;=338.2,"I",IF(H258&lt;=356.2,"II",IF(H258&lt;=415.2,"III","б/р"))))))))</f>
        <v>МСМК</v>
      </c>
      <c r="K258" s="859"/>
      <c r="L258" s="749">
        <f>H258</f>
        <v>304.60000000000002</v>
      </c>
      <c r="M258" s="747" t="str">
        <f t="shared" ref="M258:M263" si="121">IF(ISBLANK(L258)," ",IF(ISTEXT(L258)," ",IF(L258&lt;=304.6,"МСМК",IF(L258&lt;=314.4,"МС",IF(L258&lt;=323,"КМС",IF(L258&lt;=338,"I",IF(L258&lt;=356,"II",IF(L258&lt;=415,"III","б/р"))))))))</f>
        <v>МСМК</v>
      </c>
      <c r="N258" s="747" t="str">
        <f t="shared" ref="N258:N263" si="122">IF(ISBLANK(L258)," ",IF(ISTEXT(L258)," ",IF(L258&lt;=304.6,"МСМК",IF(L258&lt;=314.4,"МС",IF(L258&lt;=323,"КМС",IF(L258&lt;=338,"I",IF(L258&lt;=356,"II",IF(L258&lt;=415,"III","б/р"))))))))</f>
        <v>МСМК</v>
      </c>
      <c r="P258" s="753"/>
      <c r="Q258" s="753"/>
      <c r="R258" s="753"/>
      <c r="S258" s="753"/>
      <c r="T258" s="753"/>
      <c r="U258" s="753"/>
      <c r="V258" s="753"/>
      <c r="W258" s="753"/>
      <c r="X258" s="753"/>
      <c r="Y258" s="753"/>
      <c r="Z258" s="753"/>
      <c r="AA258" s="753"/>
      <c r="AB258" s="753"/>
      <c r="AC258" s="753"/>
      <c r="AD258" s="753"/>
      <c r="AE258" s="753"/>
      <c r="AF258" s="753"/>
      <c r="AG258" s="753"/>
      <c r="AH258" s="753"/>
    </row>
    <row r="259" spans="3:34">
      <c r="C259" s="762"/>
      <c r="D259" s="531"/>
      <c r="E259" s="586"/>
      <c r="F259" s="762"/>
      <c r="G259" s="762"/>
      <c r="H259" s="532">
        <v>314.39999999999998</v>
      </c>
      <c r="I259" s="540" t="str">
        <f t="shared" si="119"/>
        <v>МС</v>
      </c>
      <c r="J259" s="540" t="str">
        <f t="shared" si="120"/>
        <v>МС</v>
      </c>
      <c r="K259" s="859"/>
      <c r="L259" s="749">
        <f>H259</f>
        <v>314.39999999999998</v>
      </c>
      <c r="M259" s="747" t="str">
        <f t="shared" si="121"/>
        <v>МС</v>
      </c>
      <c r="N259" s="747" t="str">
        <f t="shared" si="122"/>
        <v>МС</v>
      </c>
      <c r="P259" s="753"/>
      <c r="Q259" s="753"/>
      <c r="R259" s="753"/>
      <c r="S259" s="753"/>
      <c r="T259" s="753"/>
      <c r="U259" s="753"/>
      <c r="V259" s="753"/>
      <c r="W259" s="753"/>
      <c r="X259" s="753"/>
      <c r="Y259" s="753"/>
      <c r="Z259" s="753"/>
      <c r="AA259" s="753"/>
      <c r="AB259" s="753"/>
      <c r="AC259" s="753"/>
      <c r="AD259" s="753"/>
      <c r="AE259" s="753"/>
      <c r="AF259" s="753"/>
      <c r="AG259" s="753"/>
      <c r="AH259" s="753"/>
    </row>
    <row r="260" spans="3:34">
      <c r="C260" s="762"/>
      <c r="D260" s="531"/>
      <c r="E260" s="586"/>
      <c r="F260" s="762"/>
      <c r="G260" s="762"/>
      <c r="H260" s="532">
        <v>323.2</v>
      </c>
      <c r="I260" s="540" t="str">
        <f t="shared" si="119"/>
        <v>КМС</v>
      </c>
      <c r="J260" s="540" t="str">
        <f t="shared" si="120"/>
        <v>КМС</v>
      </c>
      <c r="K260" s="859"/>
      <c r="L260" s="532">
        <f>H260-0.2</f>
        <v>323</v>
      </c>
      <c r="M260" s="540" t="str">
        <f t="shared" si="121"/>
        <v>КМС</v>
      </c>
      <c r="N260" s="540" t="str">
        <f t="shared" si="122"/>
        <v>КМС</v>
      </c>
      <c r="P260" s="753"/>
      <c r="Q260" s="753"/>
      <c r="R260" s="753"/>
      <c r="S260" s="753"/>
      <c r="T260" s="753"/>
      <c r="U260" s="753"/>
      <c r="V260" s="753"/>
      <c r="W260" s="753"/>
      <c r="X260" s="753"/>
      <c r="Y260" s="753"/>
      <c r="Z260" s="753"/>
      <c r="AA260" s="753"/>
      <c r="AB260" s="753"/>
      <c r="AC260" s="753"/>
      <c r="AD260" s="753"/>
      <c r="AE260" s="753"/>
      <c r="AF260" s="753"/>
      <c r="AG260" s="753"/>
      <c r="AH260" s="753"/>
    </row>
    <row r="261" spans="3:34">
      <c r="C261" s="762"/>
      <c r="D261" s="531"/>
      <c r="E261" s="586"/>
      <c r="F261" s="762"/>
      <c r="G261" s="762"/>
      <c r="H261" s="532">
        <v>338.2</v>
      </c>
      <c r="I261" s="540" t="str">
        <f t="shared" si="119"/>
        <v>I</v>
      </c>
      <c r="J261" s="540" t="str">
        <f t="shared" si="120"/>
        <v>I</v>
      </c>
      <c r="K261" s="859"/>
      <c r="L261" s="532">
        <f t="shared" ref="L261:L263" si="123">H261-0.2</f>
        <v>338</v>
      </c>
      <c r="M261" s="540" t="str">
        <f t="shared" si="121"/>
        <v>I</v>
      </c>
      <c r="N261" s="540" t="str">
        <f t="shared" si="122"/>
        <v>I</v>
      </c>
      <c r="P261" s="753"/>
      <c r="Q261" s="753"/>
      <c r="R261" s="753"/>
      <c r="S261" s="753"/>
      <c r="T261" s="753"/>
      <c r="U261" s="753"/>
      <c r="V261" s="753"/>
      <c r="W261" s="753"/>
      <c r="X261" s="753"/>
      <c r="Y261" s="753"/>
      <c r="Z261" s="753"/>
      <c r="AA261" s="753"/>
      <c r="AB261" s="753"/>
      <c r="AC261" s="753"/>
      <c r="AD261" s="753"/>
      <c r="AE261" s="753"/>
      <c r="AF261" s="753"/>
      <c r="AG261" s="753"/>
      <c r="AH261" s="753"/>
    </row>
    <row r="262" spans="3:34">
      <c r="C262" s="762"/>
      <c r="D262" s="531"/>
      <c r="E262" s="586"/>
      <c r="F262" s="762"/>
      <c r="G262" s="762"/>
      <c r="H262" s="532">
        <v>356.2</v>
      </c>
      <c r="I262" s="540" t="str">
        <f t="shared" si="119"/>
        <v>II</v>
      </c>
      <c r="J262" s="540" t="str">
        <f t="shared" si="120"/>
        <v>II</v>
      </c>
      <c r="K262" s="859"/>
      <c r="L262" s="532">
        <f t="shared" si="123"/>
        <v>356</v>
      </c>
      <c r="M262" s="540" t="str">
        <f t="shared" si="121"/>
        <v>II</v>
      </c>
      <c r="N262" s="540" t="str">
        <f t="shared" si="122"/>
        <v>II</v>
      </c>
      <c r="P262" s="753"/>
      <c r="Q262" s="753"/>
      <c r="R262" s="753"/>
      <c r="S262" s="753"/>
      <c r="T262" s="753"/>
      <c r="U262" s="753"/>
      <c r="V262" s="753"/>
      <c r="W262" s="753"/>
      <c r="X262" s="753"/>
      <c r="Y262" s="753"/>
      <c r="Z262" s="753"/>
      <c r="AA262" s="753"/>
      <c r="AB262" s="753"/>
      <c r="AC262" s="753"/>
      <c r="AD262" s="753"/>
      <c r="AE262" s="753"/>
      <c r="AF262" s="753"/>
      <c r="AG262" s="753"/>
      <c r="AH262" s="753"/>
    </row>
    <row r="263" spans="3:34">
      <c r="C263" s="762"/>
      <c r="D263" s="531"/>
      <c r="E263" s="586"/>
      <c r="F263" s="762"/>
      <c r="G263" s="762"/>
      <c r="H263" s="532">
        <v>415.2</v>
      </c>
      <c r="I263" s="540" t="str">
        <f t="shared" si="119"/>
        <v>III</v>
      </c>
      <c r="J263" s="540" t="str">
        <f t="shared" si="120"/>
        <v>III</v>
      </c>
      <c r="K263" s="859"/>
      <c r="L263" s="532">
        <f t="shared" si="123"/>
        <v>415</v>
      </c>
      <c r="M263" s="540" t="str">
        <f t="shared" si="121"/>
        <v>III</v>
      </c>
      <c r="N263" s="540" t="str">
        <f t="shared" si="122"/>
        <v>III</v>
      </c>
      <c r="P263" s="753"/>
      <c r="Q263" s="753"/>
      <c r="R263" s="753"/>
      <c r="S263" s="753"/>
      <c r="T263" s="753"/>
      <c r="U263" s="753"/>
      <c r="V263" s="753"/>
      <c r="W263" s="753"/>
      <c r="X263" s="753"/>
      <c r="Y263" s="753"/>
      <c r="Z263" s="753"/>
      <c r="AA263" s="753"/>
      <c r="AB263" s="753"/>
      <c r="AC263" s="753"/>
      <c r="AD263" s="753"/>
      <c r="AE263" s="753"/>
      <c r="AF263" s="753"/>
      <c r="AG263" s="753"/>
      <c r="AH263" s="753"/>
    </row>
    <row r="264" spans="3:34">
      <c r="C264" s="762"/>
      <c r="D264" s="531"/>
      <c r="E264" s="586"/>
      <c r="F264" s="762"/>
      <c r="G264" s="762"/>
      <c r="H264" s="532"/>
      <c r="I264" s="532"/>
      <c r="J264" s="542"/>
      <c r="K264" s="860"/>
      <c r="P264" s="743"/>
      <c r="Q264" s="743"/>
      <c r="R264" s="743"/>
      <c r="S264" s="743"/>
      <c r="T264" s="754"/>
      <c r="U264" s="754"/>
      <c r="V264" s="754"/>
      <c r="W264" s="754"/>
      <c r="X264" s="754"/>
      <c r="Y264" s="754"/>
      <c r="Z264" s="754"/>
      <c r="AA264" s="754"/>
      <c r="AB264" s="753"/>
      <c r="AC264" s="753"/>
      <c r="AD264" s="753"/>
      <c r="AE264" s="753"/>
      <c r="AF264" s="753"/>
      <c r="AG264" s="753"/>
      <c r="AH264" s="753"/>
    </row>
    <row r="265" spans="3:34">
      <c r="C265" s="524" t="s">
        <v>138</v>
      </c>
      <c r="D265" s="542"/>
      <c r="E265" s="542"/>
      <c r="F265" s="542"/>
      <c r="G265" s="542"/>
      <c r="H265" s="532"/>
      <c r="I265" s="532"/>
      <c r="J265" s="542"/>
      <c r="K265" s="860"/>
      <c r="P265" s="742"/>
      <c r="Q265" s="742"/>
      <c r="R265" s="742"/>
      <c r="S265" s="742"/>
      <c r="T265" s="742"/>
      <c r="U265" s="742"/>
      <c r="V265" s="742"/>
      <c r="W265" s="742"/>
      <c r="X265" s="742"/>
      <c r="Y265" s="742"/>
      <c r="Z265" s="742"/>
      <c r="AA265" s="742"/>
      <c r="AB265" s="753"/>
      <c r="AC265" s="753"/>
      <c r="AD265" s="753"/>
      <c r="AE265" s="753"/>
      <c r="AF265" s="753"/>
      <c r="AG265" s="753"/>
      <c r="AH265" s="753"/>
    </row>
    <row r="266" spans="3:34">
      <c r="C266" s="542"/>
      <c r="D266" s="542"/>
      <c r="E266" s="542"/>
      <c r="F266" s="542"/>
      <c r="G266" s="542"/>
      <c r="H266" s="532">
        <v>250.2</v>
      </c>
      <c r="I266" s="540" t="str">
        <f t="shared" ref="I266:I271" si="124">IF(ISBLANK(H266)," ",IF(ISTEXT(H266)," ",IF(H266&lt;=250.2,"МСМК",IF(H266&lt;=259.2,"МС",IF(H266&lt;=307.9,"КМС",IF(H266&lt;=321.2,"I",IF(H266&lt;=338.2,"II",IF(H266&lt;=356.7,"III","б/р"))))))))</f>
        <v>МСМК</v>
      </c>
      <c r="J266" s="540" t="str">
        <f t="shared" ref="J266:J271" si="125">IF(ISBLANK(H266)," ",IF(ISTEXT(H266)," ",IF(H266&lt;=250.2,"МСМК",IF(H266&lt;=259.2,"МС",IF(H266&lt;=307.9,"КМС",IF(H266&lt;=321.2,"I",IF(H266&lt;=338.2,"II",IF(H266&lt;=356.7,"III","б/р"))))))))</f>
        <v>МСМК</v>
      </c>
      <c r="K266" s="859"/>
      <c r="L266" s="749">
        <f>H266</f>
        <v>250.2</v>
      </c>
      <c r="M266" s="747" t="str">
        <f t="shared" ref="M266:M271" si="126">IF(ISBLANK(L266)," ",IF(ISTEXT(L266)," ",IF(L266&lt;=250.2,"МСМК",IF(L266&lt;=259.2,"МС",IF(L266&lt;=307.7,"КМС",IF(L266&lt;=321,"I",IF(L266&lt;=338,"II",IF(L266&lt;=356.5,"III","б/р"))))))))</f>
        <v>МСМК</v>
      </c>
      <c r="N266" s="747" t="str">
        <f t="shared" ref="N266:N271" si="127">IF(ISBLANK(L266)," ",IF(ISTEXT(L266)," ",IF(L266&lt;=250.2,"МСМК",IF(L266&lt;=259.2,"МС",IF(L266&lt;=307.7,"КМС",IF(L266&lt;=321,"I",IF(L266&lt;=338,"II",IF(L266&lt;=356.5,"III","б/р"))))))))</f>
        <v>МСМК</v>
      </c>
      <c r="P266" s="753"/>
      <c r="Q266" s="753"/>
      <c r="R266" s="753"/>
      <c r="S266" s="753"/>
      <c r="T266" s="753"/>
      <c r="U266" s="753"/>
      <c r="V266" s="753"/>
      <c r="W266" s="753"/>
      <c r="X266" s="753"/>
      <c r="Y266" s="753"/>
      <c r="Z266" s="753"/>
      <c r="AA266" s="753"/>
      <c r="AB266" s="753"/>
      <c r="AC266" s="753"/>
      <c r="AD266" s="753"/>
      <c r="AE266" s="753"/>
      <c r="AF266" s="753"/>
      <c r="AG266" s="753"/>
      <c r="AH266" s="753"/>
    </row>
    <row r="267" spans="3:34">
      <c r="C267" s="542"/>
      <c r="D267" s="542"/>
      <c r="E267" s="542"/>
      <c r="F267" s="542"/>
      <c r="G267" s="542"/>
      <c r="H267" s="532">
        <v>259.2</v>
      </c>
      <c r="I267" s="540" t="str">
        <f t="shared" si="124"/>
        <v>МС</v>
      </c>
      <c r="J267" s="540" t="str">
        <f t="shared" si="125"/>
        <v>МС</v>
      </c>
      <c r="K267" s="859"/>
      <c r="L267" s="749">
        <f>H267</f>
        <v>259.2</v>
      </c>
      <c r="M267" s="747" t="str">
        <f t="shared" si="126"/>
        <v>МС</v>
      </c>
      <c r="N267" s="747" t="str">
        <f t="shared" si="127"/>
        <v>МС</v>
      </c>
      <c r="P267" s="753"/>
      <c r="Q267" s="753"/>
      <c r="R267" s="753"/>
      <c r="S267" s="753"/>
      <c r="T267" s="753"/>
      <c r="U267" s="753"/>
      <c r="V267" s="753"/>
      <c r="W267" s="753"/>
      <c r="X267" s="753"/>
      <c r="Y267" s="753"/>
      <c r="Z267" s="753"/>
      <c r="AA267" s="753"/>
      <c r="AB267" s="753"/>
      <c r="AC267" s="753"/>
      <c r="AD267" s="753"/>
      <c r="AE267" s="753"/>
      <c r="AF267" s="753"/>
      <c r="AG267" s="753"/>
      <c r="AH267" s="753"/>
    </row>
    <row r="268" spans="3:34">
      <c r="C268" s="542"/>
      <c r="D268" s="542"/>
      <c r="E268" s="542"/>
      <c r="F268" s="542"/>
      <c r="G268" s="542"/>
      <c r="H268" s="532">
        <v>307.89999999999998</v>
      </c>
      <c r="I268" s="540" t="str">
        <f t="shared" si="124"/>
        <v>КМС</v>
      </c>
      <c r="J268" s="540" t="str">
        <f t="shared" si="125"/>
        <v>КМС</v>
      </c>
      <c r="K268" s="859"/>
      <c r="L268" s="532">
        <f>H268-0.2</f>
        <v>307.7</v>
      </c>
      <c r="M268" s="540" t="str">
        <f t="shared" si="126"/>
        <v>КМС</v>
      </c>
      <c r="N268" s="540" t="str">
        <f t="shared" si="127"/>
        <v>КМС</v>
      </c>
      <c r="P268" s="753"/>
      <c r="Q268" s="753"/>
      <c r="R268" s="753"/>
      <c r="S268" s="753"/>
      <c r="T268" s="753"/>
      <c r="U268" s="753"/>
      <c r="V268" s="753"/>
      <c r="W268" s="753"/>
      <c r="X268" s="753"/>
      <c r="Y268" s="753"/>
      <c r="Z268" s="753"/>
      <c r="AA268" s="753"/>
      <c r="AB268" s="753"/>
      <c r="AC268" s="753"/>
      <c r="AD268" s="753"/>
      <c r="AE268" s="753"/>
      <c r="AF268" s="753"/>
      <c r="AG268" s="753"/>
      <c r="AH268" s="753"/>
    </row>
    <row r="269" spans="3:34">
      <c r="C269" s="542"/>
      <c r="D269" s="542"/>
      <c r="E269" s="542"/>
      <c r="F269" s="542"/>
      <c r="G269" s="542"/>
      <c r="H269" s="532">
        <v>321.2</v>
      </c>
      <c r="I269" s="540" t="str">
        <f t="shared" si="124"/>
        <v>I</v>
      </c>
      <c r="J269" s="540" t="str">
        <f t="shared" si="125"/>
        <v>I</v>
      </c>
      <c r="K269" s="859"/>
      <c r="L269" s="532">
        <f t="shared" ref="L269:L271" si="128">H269-0.2</f>
        <v>321</v>
      </c>
      <c r="M269" s="540" t="str">
        <f t="shared" si="126"/>
        <v>I</v>
      </c>
      <c r="N269" s="540" t="str">
        <f t="shared" si="127"/>
        <v>I</v>
      </c>
      <c r="P269" s="753"/>
      <c r="Q269" s="753"/>
      <c r="R269" s="753"/>
      <c r="S269" s="753"/>
      <c r="T269" s="753"/>
      <c r="U269" s="753"/>
      <c r="V269" s="753"/>
      <c r="W269" s="753"/>
      <c r="X269" s="753"/>
      <c r="Y269" s="753"/>
      <c r="Z269" s="753"/>
      <c r="AA269" s="753"/>
      <c r="AB269" s="753"/>
      <c r="AC269" s="753"/>
      <c r="AD269" s="753"/>
      <c r="AE269" s="753"/>
      <c r="AF269" s="753"/>
      <c r="AG269" s="753"/>
      <c r="AH269" s="753"/>
    </row>
    <row r="270" spans="3:34">
      <c r="C270" s="542"/>
      <c r="D270" s="542"/>
      <c r="E270" s="542"/>
      <c r="F270" s="542"/>
      <c r="G270" s="542"/>
      <c r="H270" s="532">
        <v>338.2</v>
      </c>
      <c r="I270" s="540" t="str">
        <f t="shared" si="124"/>
        <v>II</v>
      </c>
      <c r="J270" s="540" t="str">
        <f t="shared" si="125"/>
        <v>II</v>
      </c>
      <c r="K270" s="859"/>
      <c r="L270" s="532">
        <f t="shared" si="128"/>
        <v>338</v>
      </c>
      <c r="M270" s="540" t="str">
        <f t="shared" si="126"/>
        <v>II</v>
      </c>
      <c r="N270" s="540" t="str">
        <f t="shared" si="127"/>
        <v>II</v>
      </c>
      <c r="P270" s="753"/>
      <c r="Q270" s="753"/>
      <c r="R270" s="753"/>
      <c r="S270" s="753"/>
      <c r="T270" s="753"/>
      <c r="U270" s="753"/>
      <c r="V270" s="753"/>
      <c r="W270" s="753"/>
      <c r="X270" s="753"/>
      <c r="Y270" s="753"/>
      <c r="Z270" s="753"/>
      <c r="AA270" s="753"/>
      <c r="AB270" s="753"/>
      <c r="AC270" s="753"/>
      <c r="AD270" s="753"/>
      <c r="AE270" s="753"/>
      <c r="AF270" s="753"/>
      <c r="AG270" s="753"/>
      <c r="AH270" s="753"/>
    </row>
    <row r="271" spans="3:34">
      <c r="C271" s="542"/>
      <c r="D271" s="542"/>
      <c r="E271" s="542"/>
      <c r="F271" s="542"/>
      <c r="G271" s="542"/>
      <c r="H271" s="532">
        <v>356.7</v>
      </c>
      <c r="I271" s="540" t="str">
        <f t="shared" si="124"/>
        <v>III</v>
      </c>
      <c r="J271" s="540" t="str">
        <f t="shared" si="125"/>
        <v>III</v>
      </c>
      <c r="K271" s="859"/>
      <c r="L271" s="532">
        <f t="shared" si="128"/>
        <v>356.5</v>
      </c>
      <c r="M271" s="540" t="str">
        <f t="shared" si="126"/>
        <v>III</v>
      </c>
      <c r="N271" s="540" t="str">
        <f t="shared" si="127"/>
        <v>III</v>
      </c>
      <c r="P271" s="753"/>
      <c r="Q271" s="753"/>
      <c r="R271" s="753"/>
      <c r="S271" s="753"/>
      <c r="T271" s="753"/>
      <c r="U271" s="753"/>
      <c r="V271" s="753"/>
      <c r="W271" s="753"/>
      <c r="X271" s="753"/>
      <c r="Y271" s="753"/>
      <c r="Z271" s="753"/>
      <c r="AA271" s="753"/>
      <c r="AB271" s="753"/>
      <c r="AC271" s="753"/>
      <c r="AD271" s="753"/>
      <c r="AE271" s="753"/>
      <c r="AF271" s="753"/>
      <c r="AG271" s="753"/>
      <c r="AH271" s="753"/>
    </row>
    <row r="272" spans="3:34">
      <c r="C272" s="542"/>
      <c r="D272" s="542"/>
      <c r="E272" s="542"/>
      <c r="F272" s="542"/>
      <c r="G272" s="542"/>
      <c r="H272" s="532"/>
      <c r="I272" s="540" t="str">
        <f>IF(ISBLANK(H272)," ",IF(ISTEXT(H272)," ",IF(H272&lt;=251,"МСМК",IF(H272&lt;=259.6,"МС",IF(H272&lt;=308.1,"КМС",IF(H272&lt;=321.8,"I",IF(H272&lt;=338.9,"II",IF(H272&lt;=357.7,"III","б/р"))))))))</f>
        <v xml:space="preserve"> </v>
      </c>
      <c r="J272" s="531" t="str">
        <f>IF(ISBLANK(H272)," ",IF(ISTEXT(H272)," ",IF(H272&lt;=251,"МСМК",IF(H272&lt;=259.6,"МС",IF(H272&lt;=308.1,"КМС",IF(H272&lt;=321.8,"I",IF(H272&lt;=338.9,"II",IF(H272&lt;=357.7,"III","б/р"))))))))</f>
        <v xml:space="preserve"> </v>
      </c>
      <c r="K272" s="859"/>
      <c r="P272" s="753"/>
      <c r="Q272" s="753"/>
      <c r="R272" s="753"/>
      <c r="S272" s="753"/>
      <c r="T272" s="753"/>
      <c r="U272" s="753"/>
      <c r="V272" s="753"/>
      <c r="W272" s="753"/>
      <c r="X272" s="753"/>
      <c r="Y272" s="753"/>
      <c r="Z272" s="753"/>
      <c r="AA272" s="753"/>
      <c r="AB272" s="753"/>
      <c r="AC272" s="753"/>
      <c r="AD272" s="753"/>
      <c r="AE272" s="753"/>
      <c r="AF272" s="753"/>
      <c r="AG272" s="753"/>
      <c r="AH272" s="753"/>
    </row>
    <row r="273" spans="3:34">
      <c r="C273" s="524" t="s">
        <v>139</v>
      </c>
      <c r="D273" s="525"/>
      <c r="E273" s="526"/>
      <c r="F273" s="524"/>
      <c r="G273" s="524"/>
      <c r="H273" s="527"/>
      <c r="I273" s="532"/>
      <c r="J273" s="542"/>
      <c r="K273" s="860"/>
      <c r="P273" s="753"/>
      <c r="Q273" s="753"/>
      <c r="R273" s="753"/>
      <c r="S273" s="753"/>
      <c r="T273" s="753"/>
      <c r="U273" s="753"/>
      <c r="V273" s="753"/>
      <c r="W273" s="753"/>
      <c r="X273" s="753"/>
      <c r="Y273" s="753"/>
      <c r="Z273" s="753"/>
      <c r="AA273" s="753"/>
      <c r="AB273" s="753"/>
      <c r="AC273" s="753"/>
      <c r="AD273" s="753"/>
      <c r="AE273" s="753"/>
      <c r="AF273" s="753"/>
      <c r="AG273" s="753"/>
      <c r="AH273" s="753"/>
    </row>
    <row r="274" spans="3:34">
      <c r="C274" s="762"/>
      <c r="D274" s="531"/>
      <c r="E274" s="586"/>
      <c r="F274" s="762"/>
      <c r="G274" s="762"/>
      <c r="H274" s="532">
        <v>637.29999999999995</v>
      </c>
      <c r="I274" s="540" t="str">
        <f t="shared" ref="I274:I280" si="129">IF(ISBLANK(H274)," ",IF(ISTEXT(H274)," ",IF(H274&lt;=637.3,"МСМК",IF(H274&lt;=657.2,"МС",IF(H274&lt;=717,"КМС",IF(H274&lt;=748.8,"I",IF(H274&lt;=828.5,"II",IF(H274&lt;=912.2,"III","б/р"))))))))</f>
        <v>МСМК</v>
      </c>
      <c r="J274" s="531" t="str">
        <f t="shared" ref="J274:J280" si="130">IF(ISBLANK(H274)," ",IF(ISTEXT(H274)," ",IF(H274&lt;=637.3,"МСМК",IF(H274&lt;=657.2,"МС",IF(H274&lt;=717,"КМС",IF(H274&lt;=748.8,"I",IF(H274&lt;=828.5,"II",IF(H274&lt;=912.2,"III","б/р"))))))))</f>
        <v>МСМК</v>
      </c>
      <c r="K274" s="859"/>
      <c r="P274" s="753"/>
      <c r="Q274" s="753"/>
      <c r="R274" s="753"/>
      <c r="S274" s="753"/>
      <c r="T274" s="753"/>
      <c r="U274" s="753"/>
      <c r="V274" s="753"/>
      <c r="W274" s="753"/>
      <c r="X274" s="753"/>
      <c r="Y274" s="753"/>
      <c r="Z274" s="753"/>
      <c r="AA274" s="753"/>
      <c r="AB274" s="753"/>
      <c r="AC274" s="753"/>
      <c r="AD274" s="753"/>
      <c r="AE274" s="753"/>
      <c r="AF274" s="753"/>
      <c r="AG274" s="753"/>
      <c r="AH274" s="753"/>
    </row>
    <row r="275" spans="3:34">
      <c r="C275" s="762"/>
      <c r="D275" s="531"/>
      <c r="E275" s="586"/>
      <c r="F275" s="762"/>
      <c r="G275" s="762"/>
      <c r="H275" s="532">
        <v>657.2</v>
      </c>
      <c r="I275" s="540" t="str">
        <f t="shared" si="129"/>
        <v>МС</v>
      </c>
      <c r="J275" s="531" t="str">
        <f t="shared" si="130"/>
        <v>МС</v>
      </c>
      <c r="K275" s="859"/>
      <c r="P275" s="753"/>
      <c r="Q275" s="753"/>
      <c r="R275" s="753"/>
      <c r="S275" s="753"/>
      <c r="T275" s="753"/>
      <c r="U275" s="753"/>
      <c r="V275" s="753"/>
      <c r="W275" s="753"/>
      <c r="X275" s="753"/>
      <c r="Y275" s="753"/>
      <c r="Z275" s="753"/>
      <c r="AA275" s="753"/>
      <c r="AB275" s="753"/>
      <c r="AC275" s="753"/>
      <c r="AD275" s="753"/>
      <c r="AE275" s="753"/>
      <c r="AF275" s="753"/>
      <c r="AG275" s="753"/>
      <c r="AH275" s="753"/>
    </row>
    <row r="276" spans="3:34">
      <c r="C276" s="762"/>
      <c r="D276" s="531"/>
      <c r="E276" s="586"/>
      <c r="F276" s="762"/>
      <c r="G276" s="762"/>
      <c r="H276" s="532">
        <v>717</v>
      </c>
      <c r="I276" s="540" t="str">
        <f t="shared" si="129"/>
        <v>КМС</v>
      </c>
      <c r="J276" s="531" t="str">
        <f t="shared" si="130"/>
        <v>КМС</v>
      </c>
      <c r="K276" s="859"/>
      <c r="P276" s="753"/>
      <c r="Q276" s="753"/>
      <c r="R276" s="753"/>
      <c r="S276" s="753"/>
      <c r="T276" s="753"/>
      <c r="U276" s="753"/>
      <c r="V276" s="753"/>
      <c r="W276" s="753"/>
      <c r="X276" s="753"/>
      <c r="Y276" s="753"/>
      <c r="Z276" s="753"/>
      <c r="AA276" s="753"/>
      <c r="AB276" s="753"/>
      <c r="AC276" s="753"/>
      <c r="AD276" s="753"/>
      <c r="AE276" s="753"/>
      <c r="AF276" s="753"/>
      <c r="AG276" s="753"/>
      <c r="AH276" s="753"/>
    </row>
    <row r="277" spans="3:34">
      <c r="C277" s="762"/>
      <c r="D277" s="531"/>
      <c r="E277" s="586"/>
      <c r="F277" s="762"/>
      <c r="G277" s="762"/>
      <c r="H277" s="532">
        <v>748.8</v>
      </c>
      <c r="I277" s="540" t="str">
        <f t="shared" si="129"/>
        <v>I</v>
      </c>
      <c r="J277" s="531" t="str">
        <f t="shared" si="130"/>
        <v>I</v>
      </c>
      <c r="K277" s="859"/>
      <c r="P277" s="753"/>
      <c r="Q277" s="753"/>
      <c r="R277" s="753"/>
      <c r="S277" s="753"/>
      <c r="T277" s="753"/>
      <c r="U277" s="753"/>
      <c r="V277" s="753"/>
      <c r="W277" s="753"/>
      <c r="X277" s="753"/>
      <c r="Y277" s="753"/>
      <c r="Z277" s="753"/>
      <c r="AA277" s="753"/>
      <c r="AB277" s="753"/>
      <c r="AC277" s="753"/>
      <c r="AD277" s="753"/>
      <c r="AE277" s="753"/>
      <c r="AF277" s="753"/>
      <c r="AG277" s="753"/>
      <c r="AH277" s="753"/>
    </row>
    <row r="278" spans="3:34">
      <c r="C278" s="762"/>
      <c r="D278" s="531"/>
      <c r="E278" s="586"/>
      <c r="F278" s="762"/>
      <c r="G278" s="762"/>
      <c r="H278" s="532">
        <v>828.5</v>
      </c>
      <c r="I278" s="540" t="str">
        <f t="shared" si="129"/>
        <v>II</v>
      </c>
      <c r="J278" s="531" t="str">
        <f t="shared" si="130"/>
        <v>II</v>
      </c>
      <c r="K278" s="859"/>
      <c r="P278" s="753"/>
      <c r="Q278" s="753"/>
      <c r="R278" s="753"/>
      <c r="S278" s="753"/>
      <c r="T278" s="753"/>
      <c r="U278" s="753"/>
      <c r="V278" s="753"/>
      <c r="W278" s="753"/>
      <c r="X278" s="753"/>
      <c r="Y278" s="753"/>
      <c r="Z278" s="753"/>
      <c r="AA278" s="753"/>
      <c r="AB278" s="753"/>
      <c r="AC278" s="753"/>
      <c r="AD278" s="753"/>
      <c r="AE278" s="753"/>
      <c r="AF278" s="753"/>
      <c r="AG278" s="753"/>
      <c r="AH278" s="753"/>
    </row>
    <row r="279" spans="3:34">
      <c r="C279" s="762"/>
      <c r="D279" s="531"/>
      <c r="E279" s="586"/>
      <c r="F279" s="762"/>
      <c r="G279" s="762"/>
      <c r="H279" s="532">
        <v>912.2</v>
      </c>
      <c r="I279" s="540" t="str">
        <f t="shared" si="129"/>
        <v>III</v>
      </c>
      <c r="J279" s="531" t="str">
        <f t="shared" si="130"/>
        <v>III</v>
      </c>
      <c r="K279" s="859"/>
      <c r="P279" s="753"/>
      <c r="Q279" s="753"/>
      <c r="R279" s="753"/>
      <c r="S279" s="753"/>
      <c r="T279" s="753"/>
      <c r="U279" s="753"/>
      <c r="V279" s="753"/>
      <c r="W279" s="753"/>
      <c r="X279" s="753"/>
      <c r="Y279" s="753"/>
      <c r="Z279" s="753"/>
      <c r="AA279" s="753"/>
      <c r="AB279" s="753"/>
      <c r="AC279" s="753"/>
      <c r="AD279" s="753"/>
      <c r="AE279" s="753"/>
      <c r="AF279" s="753"/>
      <c r="AG279" s="753"/>
      <c r="AH279" s="753"/>
    </row>
    <row r="280" spans="3:34">
      <c r="C280" s="762"/>
      <c r="D280" s="531"/>
      <c r="E280" s="586"/>
      <c r="F280" s="762"/>
      <c r="G280" s="762"/>
      <c r="H280" s="532"/>
      <c r="I280" s="540" t="str">
        <f t="shared" si="129"/>
        <v xml:space="preserve"> </v>
      </c>
      <c r="J280" s="531" t="str">
        <f t="shared" si="130"/>
        <v xml:space="preserve"> </v>
      </c>
      <c r="K280" s="859"/>
      <c r="P280" s="753"/>
      <c r="Q280" s="753"/>
      <c r="R280" s="753"/>
      <c r="S280" s="753"/>
      <c r="T280" s="753"/>
      <c r="U280" s="753"/>
      <c r="V280" s="753"/>
      <c r="W280" s="753"/>
      <c r="X280" s="753"/>
      <c r="Y280" s="753"/>
      <c r="Z280" s="753"/>
      <c r="AA280" s="753"/>
      <c r="AB280" s="753"/>
      <c r="AC280" s="753"/>
      <c r="AD280" s="753"/>
      <c r="AE280" s="753"/>
      <c r="AF280" s="753"/>
      <c r="AG280" s="753"/>
      <c r="AH280" s="753"/>
    </row>
    <row r="281" spans="3:34">
      <c r="C281" s="524" t="s">
        <v>140</v>
      </c>
      <c r="D281" s="542"/>
      <c r="E281" s="542"/>
      <c r="F281" s="542"/>
      <c r="G281" s="542"/>
      <c r="H281" s="527"/>
      <c r="I281" s="532"/>
      <c r="J281" s="542"/>
      <c r="K281" s="860"/>
      <c r="P281" s="753"/>
      <c r="Q281" s="753"/>
      <c r="R281" s="753"/>
      <c r="S281" s="753"/>
      <c r="T281" s="753"/>
      <c r="U281" s="753"/>
      <c r="V281" s="753"/>
      <c r="W281" s="753"/>
      <c r="X281" s="753"/>
      <c r="Y281" s="753"/>
      <c r="Z281" s="753"/>
      <c r="AA281" s="753"/>
      <c r="AB281" s="753"/>
      <c r="AC281" s="753"/>
      <c r="AD281" s="753"/>
      <c r="AE281" s="753"/>
      <c r="AF281" s="753"/>
      <c r="AG281" s="753"/>
      <c r="AH281" s="753"/>
    </row>
    <row r="282" spans="3:34">
      <c r="C282" s="762"/>
      <c r="D282" s="542"/>
      <c r="E282" s="542"/>
      <c r="F282" s="542"/>
      <c r="G282" s="542"/>
      <c r="H282" s="532">
        <v>604.4</v>
      </c>
      <c r="I282" s="540" t="str">
        <f>IF(ISBLANK(H282)," ",IF(ISTEXT(H282)," ",IF(H282&lt;=604.4,"МСМК",IF(H282&lt;=622.6,"МС",IF(H282&lt;=640.8,"КМС",IF(H282&lt;=710,"I",IF(H282&lt;=746.4,"II",IF(H282&lt;=826.5,"III","б/р"))))))))</f>
        <v>МСМК</v>
      </c>
      <c r="J282" s="531" t="str">
        <f>IF(ISBLANK(H282)," ",IF(ISTEXT(H282)," ",IF(H282&lt;=604.4,"МСМК",IF(H282&lt;=622.6,"МС",IF(H282&lt;=640.8,"КМС",IF(H282&lt;=710,"I",IF(H282&lt;=746.4,"II",IF(H282&lt;=826.5,"III","б/р"))))))))</f>
        <v>МСМК</v>
      </c>
      <c r="K282" s="859"/>
      <c r="P282" s="753"/>
      <c r="Q282" s="753"/>
      <c r="R282" s="753"/>
      <c r="S282" s="753"/>
      <c r="T282" s="753"/>
      <c r="U282" s="753"/>
      <c r="V282" s="753"/>
      <c r="W282" s="753"/>
      <c r="X282" s="753"/>
      <c r="Y282" s="753"/>
      <c r="Z282" s="753"/>
      <c r="AA282" s="753"/>
      <c r="AB282" s="753"/>
      <c r="AC282" s="753"/>
      <c r="AD282" s="753"/>
      <c r="AE282" s="753"/>
      <c r="AF282" s="753"/>
      <c r="AG282" s="753"/>
      <c r="AH282" s="753"/>
    </row>
    <row r="283" spans="3:34">
      <c r="C283" s="762"/>
      <c r="D283" s="542"/>
      <c r="E283" s="542"/>
      <c r="F283" s="542"/>
      <c r="G283" s="542"/>
      <c r="H283" s="532">
        <v>622.6</v>
      </c>
      <c r="I283" s="540" t="str">
        <f t="shared" ref="I283:I288" si="131">IF(ISBLANK(H283)," ",IF(ISTEXT(H283)," ",IF(H283&lt;=604.4,"МСМК",IF(H283&lt;=622.6,"МС",IF(H283&lt;=640.8,"КМС",IF(H283&lt;=710,"I",IF(H283&lt;=746.4,"II",IF(H283&lt;=826.5,"III","б/р"))))))))</f>
        <v>МС</v>
      </c>
      <c r="J283" s="531" t="str">
        <f t="shared" ref="J283:J288" si="132">IF(ISBLANK(H283)," ",IF(ISTEXT(H283)," ",IF(H283&lt;=604.4,"МСМК",IF(H283&lt;=622.6,"МС",IF(H283&lt;=640.8,"КМС",IF(H283&lt;=710,"I",IF(H283&lt;=746.4,"II",IF(H283&lt;=826.5,"III","б/р"))))))))</f>
        <v>МС</v>
      </c>
      <c r="K283" s="859"/>
      <c r="P283" s="753"/>
      <c r="Q283" s="753"/>
      <c r="R283" s="753"/>
      <c r="S283" s="753"/>
      <c r="T283" s="753"/>
      <c r="U283" s="753"/>
      <c r="V283" s="753"/>
      <c r="W283" s="753"/>
      <c r="X283" s="753"/>
      <c r="Y283" s="753"/>
      <c r="Z283" s="753"/>
      <c r="AA283" s="753"/>
      <c r="AB283" s="753"/>
      <c r="AC283" s="753"/>
      <c r="AD283" s="753"/>
      <c r="AE283" s="753"/>
      <c r="AF283" s="753"/>
      <c r="AG283" s="753"/>
      <c r="AH283" s="753"/>
    </row>
    <row r="284" spans="3:34">
      <c r="C284" s="762"/>
      <c r="D284" s="542"/>
      <c r="E284" s="542"/>
      <c r="F284" s="542"/>
      <c r="G284" s="542"/>
      <c r="H284" s="532">
        <v>640.79999999999995</v>
      </c>
      <c r="I284" s="540" t="str">
        <f t="shared" si="131"/>
        <v>КМС</v>
      </c>
      <c r="J284" s="531" t="str">
        <f t="shared" si="132"/>
        <v>КМС</v>
      </c>
      <c r="K284" s="859"/>
      <c r="P284" s="753"/>
      <c r="Q284" s="753"/>
      <c r="R284" s="753"/>
      <c r="S284" s="753"/>
      <c r="T284" s="753"/>
      <c r="U284" s="753"/>
      <c r="V284" s="753"/>
      <c r="W284" s="753"/>
      <c r="X284" s="753"/>
      <c r="Y284" s="753"/>
      <c r="Z284" s="753"/>
      <c r="AA284" s="753"/>
      <c r="AB284" s="753"/>
      <c r="AC284" s="753"/>
      <c r="AD284" s="753"/>
      <c r="AE284" s="753"/>
      <c r="AF284" s="753"/>
      <c r="AG284" s="753"/>
      <c r="AH284" s="753"/>
    </row>
    <row r="285" spans="3:34">
      <c r="C285" s="762"/>
      <c r="D285" s="542"/>
      <c r="E285" s="542"/>
      <c r="F285" s="542"/>
      <c r="G285" s="542"/>
      <c r="H285" s="532">
        <v>710</v>
      </c>
      <c r="I285" s="540" t="str">
        <f t="shared" si="131"/>
        <v>I</v>
      </c>
      <c r="J285" s="531" t="str">
        <f t="shared" si="132"/>
        <v>I</v>
      </c>
      <c r="K285" s="859"/>
      <c r="P285" s="753"/>
      <c r="Q285" s="753"/>
      <c r="R285" s="753"/>
      <c r="S285" s="753"/>
      <c r="T285" s="753"/>
      <c r="U285" s="753"/>
      <c r="V285" s="753"/>
      <c r="W285" s="753"/>
      <c r="X285" s="753"/>
      <c r="Y285" s="753"/>
      <c r="Z285" s="753"/>
      <c r="AA285" s="753"/>
      <c r="AB285" s="753"/>
      <c r="AC285" s="753"/>
      <c r="AD285" s="753"/>
      <c r="AE285" s="753"/>
      <c r="AF285" s="753"/>
      <c r="AG285" s="753"/>
      <c r="AH285" s="753"/>
    </row>
    <row r="286" spans="3:34">
      <c r="C286" s="762"/>
      <c r="D286" s="542"/>
      <c r="E286" s="542"/>
      <c r="F286" s="542"/>
      <c r="G286" s="542"/>
      <c r="H286" s="532">
        <v>746.4</v>
      </c>
      <c r="I286" s="540" t="str">
        <f t="shared" si="131"/>
        <v>II</v>
      </c>
      <c r="J286" s="531" t="str">
        <f t="shared" si="132"/>
        <v>II</v>
      </c>
      <c r="K286" s="859"/>
      <c r="P286" s="753"/>
      <c r="Q286" s="753"/>
      <c r="R286" s="753"/>
      <c r="S286" s="753"/>
      <c r="T286" s="753"/>
      <c r="U286" s="753"/>
      <c r="V286" s="753"/>
      <c r="W286" s="753"/>
      <c r="X286" s="753"/>
      <c r="Y286" s="753"/>
      <c r="Z286" s="753"/>
      <c r="AA286" s="753"/>
      <c r="AB286" s="753"/>
      <c r="AC286" s="753"/>
      <c r="AD286" s="753"/>
      <c r="AE286" s="753"/>
      <c r="AF286" s="753"/>
      <c r="AG286" s="753"/>
      <c r="AH286" s="753"/>
    </row>
    <row r="287" spans="3:34">
      <c r="C287" s="762"/>
      <c r="D287" s="542"/>
      <c r="E287" s="542"/>
      <c r="F287" s="542"/>
      <c r="G287" s="542"/>
      <c r="H287" s="532">
        <v>826.5</v>
      </c>
      <c r="I287" s="540" t="str">
        <f t="shared" si="131"/>
        <v>III</v>
      </c>
      <c r="J287" s="531" t="str">
        <f t="shared" si="132"/>
        <v>III</v>
      </c>
      <c r="K287" s="859"/>
      <c r="P287" s="753"/>
      <c r="Q287" s="753"/>
      <c r="R287" s="753"/>
      <c r="S287" s="753"/>
      <c r="T287" s="753"/>
      <c r="U287" s="753"/>
      <c r="V287" s="753"/>
      <c r="W287" s="753"/>
      <c r="X287" s="753"/>
      <c r="Y287" s="753"/>
      <c r="Z287" s="753"/>
      <c r="AA287" s="753"/>
      <c r="AB287" s="753"/>
      <c r="AC287" s="753"/>
      <c r="AD287" s="753"/>
      <c r="AE287" s="753"/>
      <c r="AF287" s="753"/>
      <c r="AG287" s="753"/>
      <c r="AH287" s="753"/>
    </row>
    <row r="288" spans="3:34">
      <c r="C288" s="542"/>
      <c r="D288" s="542"/>
      <c r="E288" s="542"/>
      <c r="F288" s="542"/>
      <c r="G288" s="542"/>
      <c r="H288" s="532"/>
      <c r="I288" s="540" t="str">
        <f t="shared" si="131"/>
        <v xml:space="preserve"> </v>
      </c>
      <c r="J288" s="531" t="str">
        <f t="shared" si="132"/>
        <v xml:space="preserve"> </v>
      </c>
      <c r="K288" s="859"/>
      <c r="P288" s="753"/>
      <c r="Q288" s="753"/>
      <c r="R288" s="753"/>
      <c r="S288" s="753"/>
      <c r="T288" s="753"/>
      <c r="U288" s="753"/>
      <c r="V288" s="753"/>
      <c r="W288" s="753"/>
      <c r="X288" s="753"/>
      <c r="Y288" s="753"/>
      <c r="Z288" s="753"/>
      <c r="AA288" s="753"/>
      <c r="AB288" s="753"/>
      <c r="AC288" s="753"/>
      <c r="AD288" s="753"/>
      <c r="AE288" s="753"/>
      <c r="AF288" s="753"/>
      <c r="AG288" s="753"/>
      <c r="AH288" s="753"/>
    </row>
    <row r="289" spans="3:34" ht="18">
      <c r="C289" s="524" t="s">
        <v>143</v>
      </c>
      <c r="D289" s="525"/>
      <c r="E289" s="526"/>
      <c r="F289" s="524"/>
      <c r="G289" s="524"/>
      <c r="H289" s="527"/>
      <c r="I289" s="532"/>
      <c r="J289" s="542"/>
      <c r="K289" s="860"/>
      <c r="N289" s="741"/>
      <c r="O289" s="741"/>
      <c r="P289" s="744"/>
      <c r="Q289" s="743"/>
      <c r="R289" s="743"/>
      <c r="S289" s="743"/>
      <c r="T289" s="743"/>
      <c r="U289" s="743"/>
      <c r="V289" s="743"/>
      <c r="W289" s="743"/>
      <c r="X289" s="743"/>
      <c r="Y289" s="743"/>
      <c r="Z289" s="743"/>
      <c r="AA289" s="743"/>
      <c r="AB289" s="743"/>
      <c r="AC289" s="743"/>
      <c r="AD289" s="753"/>
      <c r="AE289" s="753"/>
      <c r="AF289" s="753"/>
      <c r="AG289" s="753"/>
      <c r="AH289" s="753"/>
    </row>
    <row r="290" spans="3:34">
      <c r="C290" s="762"/>
      <c r="D290" s="531"/>
      <c r="E290" s="586"/>
      <c r="F290" s="762"/>
      <c r="G290" s="762"/>
      <c r="H290" s="532">
        <v>16.7</v>
      </c>
      <c r="I290" s="540" t="str">
        <f t="shared" ref="I290:I295" si="133">IF(ISBLANK(H290)," ",IF(ISTEXT(H290)," ",IF(H290&lt;=16.7,"МСМК",IF(H290&lt;=17.5,"МС",IF(H290&lt;=18.4,"КМС",IF(H290&lt;=19.6,"I",IF(H290&lt;=21.3,"II",IF(H290&lt;=23.1,"III","б/р"))))))))</f>
        <v>МСМК</v>
      </c>
      <c r="J290" s="531" t="str">
        <f t="shared" ref="J290:J295" si="134">IF(ISBLANK(H290)," ",IF(ISTEXT(H290)," ",IF(H290&lt;=16.7,"МСМК",IF(H290&lt;=17.5,"МС",IF(H290&lt;=18.4,"КМС",IF(H290&lt;=19.6,"I",IF(H290&lt;=21.3,"II",IF(H290&lt;=23.1,"III","б/р"))))))))</f>
        <v>МСМК</v>
      </c>
      <c r="K290" s="859"/>
      <c r="L290" s="749">
        <f>H290</f>
        <v>16.7</v>
      </c>
      <c r="M290" s="747" t="str">
        <f t="shared" ref="M290:M295" si="135">IF(ISBLANK(L290)," ",IF(ISTEXT(L290)," ",IF(L290&lt;=16.7,"МСМК",IF(L290&lt;=17.5,"МС",IF(L290&lt;=18.2,"КМС",IF(L290&lt;=19.4,"I",IF(L290&lt;=21.1,"II",IF(L290&lt;=22.9,"III","б/р"))))))))</f>
        <v>МСМК</v>
      </c>
      <c r="N290" s="747" t="str">
        <f t="shared" ref="N290:N295" si="136">IF(ISBLANK(L290)," ",IF(ISTEXT(L290)," ",IF(L290&lt;=16.7,"МСМК",IF(L290&lt;=17.5,"МС",IF(L290&lt;=18.2,"КМС",IF(L290&lt;=19.4,"I",IF(L290&lt;=21.1,"II",IF(L290&lt;=22.9,"III","б/р"))))))))</f>
        <v>МСМК</v>
      </c>
      <c r="O290" s="531"/>
      <c r="P290" s="744"/>
      <c r="Q290" s="743"/>
      <c r="R290" s="742"/>
      <c r="S290" s="742"/>
      <c r="T290" s="742"/>
      <c r="U290" s="742"/>
      <c r="V290" s="742"/>
      <c r="W290" s="742"/>
      <c r="X290" s="742"/>
      <c r="Y290" s="742"/>
      <c r="Z290" s="742"/>
      <c r="AA290" s="742"/>
      <c r="AB290" s="742"/>
      <c r="AC290" s="742"/>
      <c r="AD290" s="753"/>
      <c r="AE290" s="753"/>
      <c r="AF290" s="753"/>
      <c r="AG290" s="753"/>
      <c r="AH290" s="753"/>
    </row>
    <row r="291" spans="3:34">
      <c r="C291" s="762"/>
      <c r="D291" s="531"/>
      <c r="E291" s="586"/>
      <c r="F291" s="762"/>
      <c r="G291" s="762"/>
      <c r="H291" s="532">
        <v>17.5</v>
      </c>
      <c r="I291" s="540" t="str">
        <f t="shared" si="133"/>
        <v>МС</v>
      </c>
      <c r="J291" s="531" t="str">
        <f t="shared" si="134"/>
        <v>МС</v>
      </c>
      <c r="K291" s="859"/>
      <c r="L291" s="749">
        <f>H291</f>
        <v>17.5</v>
      </c>
      <c r="M291" s="747" t="str">
        <f t="shared" si="135"/>
        <v>МС</v>
      </c>
      <c r="N291" s="747" t="str">
        <f t="shared" si="136"/>
        <v>МС</v>
      </c>
      <c r="O291" s="531"/>
      <c r="P291" s="753"/>
      <c r="Q291" s="753"/>
      <c r="R291" s="753"/>
      <c r="S291" s="753"/>
      <c r="T291" s="753"/>
      <c r="U291" s="753"/>
      <c r="V291" s="753"/>
      <c r="W291" s="753"/>
      <c r="X291" s="753"/>
      <c r="Y291" s="753"/>
      <c r="Z291" s="753"/>
      <c r="AA291" s="753"/>
      <c r="AB291" s="753"/>
      <c r="AC291" s="753"/>
      <c r="AD291" s="753"/>
      <c r="AE291" s="753"/>
      <c r="AF291" s="753"/>
      <c r="AG291" s="753"/>
      <c r="AH291" s="753"/>
    </row>
    <row r="292" spans="3:34">
      <c r="C292" s="762"/>
      <c r="D292" s="531"/>
      <c r="E292" s="586"/>
      <c r="F292" s="762"/>
      <c r="G292" s="762"/>
      <c r="H292" s="532">
        <v>18.399999999999999</v>
      </c>
      <c r="I292" s="540" t="str">
        <f t="shared" si="133"/>
        <v>КМС</v>
      </c>
      <c r="J292" s="531" t="str">
        <f t="shared" si="134"/>
        <v>КМС</v>
      </c>
      <c r="K292" s="859"/>
      <c r="L292" s="532">
        <f>H292-0.2</f>
        <v>18.2</v>
      </c>
      <c r="M292" s="540" t="str">
        <f t="shared" si="135"/>
        <v>КМС</v>
      </c>
      <c r="N292" s="540" t="str">
        <f t="shared" si="136"/>
        <v>КМС</v>
      </c>
      <c r="O292" s="531"/>
      <c r="P292" s="753"/>
      <c r="Q292" s="753"/>
      <c r="R292" s="753"/>
      <c r="S292" s="753"/>
      <c r="T292" s="753"/>
      <c r="U292" s="753"/>
      <c r="V292" s="753"/>
      <c r="W292" s="753"/>
      <c r="X292" s="753"/>
      <c r="Y292" s="753"/>
      <c r="Z292" s="753"/>
      <c r="AA292" s="753"/>
      <c r="AB292" s="753"/>
      <c r="AC292" s="753"/>
      <c r="AD292" s="753"/>
      <c r="AE292" s="753"/>
      <c r="AF292" s="753"/>
      <c r="AG292" s="753"/>
      <c r="AH292" s="753"/>
    </row>
    <row r="293" spans="3:34">
      <c r="C293" s="762"/>
      <c r="D293" s="531"/>
      <c r="E293" s="586"/>
      <c r="F293" s="762"/>
      <c r="G293" s="762"/>
      <c r="H293" s="532">
        <v>19.600000000000001</v>
      </c>
      <c r="I293" s="540" t="str">
        <f t="shared" si="133"/>
        <v>I</v>
      </c>
      <c r="J293" s="531" t="str">
        <f t="shared" si="134"/>
        <v>I</v>
      </c>
      <c r="K293" s="859"/>
      <c r="L293" s="532">
        <f t="shared" ref="L293:L295" si="137">H293-0.2</f>
        <v>19.400000000000002</v>
      </c>
      <c r="M293" s="540" t="str">
        <f t="shared" si="135"/>
        <v>I</v>
      </c>
      <c r="N293" s="540" t="str">
        <f t="shared" si="136"/>
        <v>I</v>
      </c>
      <c r="O293" s="531"/>
      <c r="P293" s="753"/>
      <c r="Q293" s="753"/>
      <c r="R293" s="753"/>
      <c r="S293" s="753"/>
      <c r="T293" s="753"/>
      <c r="U293" s="753"/>
      <c r="V293" s="753"/>
      <c r="W293" s="753"/>
      <c r="X293" s="753"/>
      <c r="Y293" s="753"/>
      <c r="Z293" s="753"/>
      <c r="AA293" s="753"/>
      <c r="AB293" s="753"/>
      <c r="AC293" s="753"/>
      <c r="AD293" s="753"/>
      <c r="AE293" s="753"/>
      <c r="AF293" s="753"/>
      <c r="AG293" s="753"/>
      <c r="AH293" s="753"/>
    </row>
    <row r="294" spans="3:34">
      <c r="C294" s="762"/>
      <c r="D294" s="531"/>
      <c r="E294" s="586"/>
      <c r="F294" s="762"/>
      <c r="G294" s="762"/>
      <c r="H294" s="532">
        <v>21.3</v>
      </c>
      <c r="I294" s="540" t="str">
        <f t="shared" si="133"/>
        <v>II</v>
      </c>
      <c r="J294" s="531" t="str">
        <f t="shared" si="134"/>
        <v>II</v>
      </c>
      <c r="K294" s="859"/>
      <c r="L294" s="532">
        <f t="shared" si="137"/>
        <v>21.1</v>
      </c>
      <c r="M294" s="540" t="str">
        <f t="shared" si="135"/>
        <v>II</v>
      </c>
      <c r="N294" s="540" t="str">
        <f t="shared" si="136"/>
        <v>II</v>
      </c>
      <c r="O294" s="531"/>
      <c r="P294" s="753"/>
      <c r="Q294" s="753"/>
      <c r="R294" s="753"/>
      <c r="S294" s="753"/>
      <c r="T294" s="753"/>
      <c r="U294" s="753"/>
      <c r="V294" s="753"/>
      <c r="W294" s="753"/>
      <c r="X294" s="753"/>
      <c r="Y294" s="753"/>
      <c r="Z294" s="753"/>
      <c r="AA294" s="753"/>
      <c r="AB294" s="753"/>
      <c r="AC294" s="753"/>
      <c r="AD294" s="753"/>
      <c r="AE294" s="753"/>
      <c r="AF294" s="753"/>
      <c r="AG294" s="753"/>
      <c r="AH294" s="753"/>
    </row>
    <row r="295" spans="3:34">
      <c r="C295" s="762"/>
      <c r="D295" s="531"/>
      <c r="E295" s="586"/>
      <c r="F295" s="762"/>
      <c r="G295" s="762"/>
      <c r="H295" s="532">
        <v>23.1</v>
      </c>
      <c r="I295" s="540" t="str">
        <f t="shared" si="133"/>
        <v>III</v>
      </c>
      <c r="J295" s="531" t="str">
        <f t="shared" si="134"/>
        <v>III</v>
      </c>
      <c r="K295" s="859"/>
      <c r="L295" s="532">
        <f t="shared" si="137"/>
        <v>22.900000000000002</v>
      </c>
      <c r="M295" s="540" t="str">
        <f t="shared" si="135"/>
        <v>III</v>
      </c>
      <c r="N295" s="540" t="str">
        <f t="shared" si="136"/>
        <v>III</v>
      </c>
      <c r="O295" s="531"/>
      <c r="P295" s="753"/>
      <c r="Q295" s="753"/>
      <c r="R295" s="753"/>
      <c r="S295" s="753"/>
      <c r="T295" s="753"/>
      <c r="U295" s="753"/>
      <c r="V295" s="753"/>
      <c r="W295" s="753"/>
      <c r="X295" s="753"/>
      <c r="Y295" s="753"/>
      <c r="Z295" s="753"/>
      <c r="AA295" s="753"/>
      <c r="AB295" s="753"/>
      <c r="AC295" s="753"/>
      <c r="AD295" s="753"/>
      <c r="AE295" s="753"/>
      <c r="AF295" s="753"/>
      <c r="AG295" s="753"/>
      <c r="AH295" s="753"/>
    </row>
    <row r="296" spans="3:34">
      <c r="C296" s="762"/>
      <c r="D296" s="531"/>
      <c r="E296" s="586"/>
      <c r="F296" s="762"/>
      <c r="G296" s="762"/>
      <c r="H296" s="532"/>
      <c r="I296" s="540" t="str">
        <f>IF(ISBLANK(H296)," ",IF(ISTEXT(H296)," ",IF(H296&lt;=16.5,"МСМК",IF(H296&lt;=17.3,"МС",IF(H296&lt;=18.2,"КМС",IF(H296&lt;=19.4,"I",IF(H296&lt;=21.1,"II",IF(H296&lt;=22.9,"III","б/р"))))))))</f>
        <v xml:space="preserve"> </v>
      </c>
      <c r="J296" s="531" t="str">
        <f>IF(ISBLANK(H296)," ",IF(ISTEXT(H296)," ",IF(H296&lt;=16.5,"МСМК",IF(H296&lt;=17.3,"МС",IF(H296&lt;=18.2,"КМС",IF(H296&lt;=19.4,"I",IF(H296&lt;=21.1,"II",IF(H296&lt;=22.9,"III","б/р"))))))))</f>
        <v xml:space="preserve"> </v>
      </c>
      <c r="K296" s="859"/>
      <c r="P296" s="743"/>
      <c r="Q296" s="743"/>
      <c r="R296" s="743"/>
      <c r="S296" s="743"/>
      <c r="T296" s="743"/>
      <c r="U296" s="743"/>
      <c r="V296" s="743"/>
      <c r="W296" s="743"/>
      <c r="X296" s="743"/>
      <c r="Y296" s="743"/>
      <c r="Z296" s="743"/>
      <c r="AA296" s="743"/>
      <c r="AB296" s="753"/>
      <c r="AC296" s="753"/>
      <c r="AD296" s="753"/>
      <c r="AE296" s="753"/>
      <c r="AF296" s="753"/>
      <c r="AG296" s="753"/>
      <c r="AH296" s="753"/>
    </row>
    <row r="297" spans="3:34">
      <c r="C297" s="524" t="s">
        <v>144</v>
      </c>
      <c r="D297" s="531"/>
      <c r="E297" s="586"/>
      <c r="F297" s="762"/>
      <c r="G297" s="762"/>
      <c r="H297" s="532"/>
      <c r="I297" s="532"/>
      <c r="J297" s="542"/>
      <c r="K297" s="860"/>
      <c r="P297" s="742"/>
      <c r="Q297" s="742"/>
      <c r="R297" s="742"/>
      <c r="S297" s="742"/>
      <c r="T297" s="742"/>
      <c r="U297" s="742"/>
      <c r="V297" s="742"/>
      <c r="W297" s="742"/>
      <c r="X297" s="742"/>
      <c r="Y297" s="742"/>
      <c r="Z297" s="742"/>
      <c r="AA297" s="742"/>
      <c r="AB297" s="753"/>
      <c r="AC297" s="753"/>
      <c r="AD297" s="753"/>
      <c r="AE297" s="753"/>
      <c r="AF297" s="753"/>
      <c r="AG297" s="753"/>
      <c r="AH297" s="753"/>
    </row>
    <row r="298" spans="3:34">
      <c r="C298" s="542"/>
      <c r="D298" s="542"/>
      <c r="E298" s="542"/>
      <c r="F298" s="542"/>
      <c r="G298" s="542"/>
      <c r="H298" s="532">
        <v>14.9</v>
      </c>
      <c r="I298" s="540" t="str">
        <f t="shared" ref="I298:I303" si="138">IF(ISBLANK(H298)," ",IF(ISTEXT(H298)," ",IF(H298&lt;=14.9,"МСМК",IF(H298&lt;=15.6,"МС",IF(H298&lt;=16.4,"КМС",IF(H298&lt;=17.5,"I",IF(H298&lt;=19,"II",IF(H298&lt;=20.6,"III","б/р"))))))))</f>
        <v>МСМК</v>
      </c>
      <c r="J298" s="531" t="str">
        <f t="shared" ref="J298:J303" si="139">IF(ISBLANK(H298)," ",IF(ISTEXT(H298)," ",IF(H298&lt;=14.9,"МСМК",IF(H298&lt;=15.6,"МС",IF(H298&lt;=16.4,"КМС",IF(H298&lt;=17.5,"I",IF(H298&lt;=19,"II",IF(H298&lt;=20.6,"III","б/р"))))))))</f>
        <v>МСМК</v>
      </c>
      <c r="K298" s="859"/>
      <c r="L298" s="749">
        <f>H298</f>
        <v>14.9</v>
      </c>
      <c r="M298" s="747" t="str">
        <f t="shared" ref="M298:M303" si="140">IF(ISBLANK(L298)," ",IF(ISTEXT(L298)," ",IF(L298&lt;=14.9,"МСМК",IF(L298&lt;=15.6,"МС",IF(L298&lt;=16.2,"КМС",IF(L298&lt;=17.3,"I",IF(L298&lt;=18.8,"II",IF(L298&lt;=20.4,"III","б/р"))))))))</f>
        <v>МСМК</v>
      </c>
      <c r="N298" s="747" t="str">
        <f t="shared" ref="N298:N303" si="141">IF(ISBLANK(L298)," ",IF(ISTEXT(L298)," ",IF(L298&lt;=14.9,"МСМК",IF(L298&lt;=15.6,"МС",IF(L298&lt;=16.2,"КМС",IF(L298&lt;=17.3,"I",IF(L298&lt;=18.8,"II",IF(L298&lt;=20.4,"III","б/р"))))))))</f>
        <v>МСМК</v>
      </c>
      <c r="O298" s="531"/>
      <c r="P298" s="742"/>
      <c r="Q298" s="742"/>
      <c r="R298" s="742"/>
      <c r="S298" s="742"/>
      <c r="T298" s="742"/>
      <c r="U298" s="742"/>
      <c r="V298" s="742"/>
      <c r="W298" s="742"/>
      <c r="X298" s="742"/>
      <c r="Y298" s="742"/>
      <c r="Z298" s="742"/>
      <c r="AA298" s="742"/>
      <c r="AB298" s="753"/>
      <c r="AC298" s="753"/>
      <c r="AD298" s="753"/>
      <c r="AE298" s="753"/>
      <c r="AF298" s="753"/>
      <c r="AG298" s="753"/>
      <c r="AH298" s="753"/>
    </row>
    <row r="299" spans="3:34">
      <c r="C299" s="542"/>
      <c r="D299" s="542"/>
      <c r="E299" s="542"/>
      <c r="F299" s="542"/>
      <c r="G299" s="542"/>
      <c r="H299" s="532">
        <v>15.6</v>
      </c>
      <c r="I299" s="540" t="str">
        <f t="shared" si="138"/>
        <v>МС</v>
      </c>
      <c r="J299" s="531" t="str">
        <f t="shared" si="139"/>
        <v>МС</v>
      </c>
      <c r="K299" s="859"/>
      <c r="L299" s="749">
        <f>H299</f>
        <v>15.6</v>
      </c>
      <c r="M299" s="747" t="str">
        <f t="shared" si="140"/>
        <v>МС</v>
      </c>
      <c r="N299" s="747" t="str">
        <f t="shared" si="141"/>
        <v>МС</v>
      </c>
      <c r="O299" s="531"/>
      <c r="P299" s="753"/>
      <c r="Q299" s="753"/>
      <c r="R299" s="753"/>
      <c r="S299" s="753"/>
      <c r="T299" s="753"/>
      <c r="U299" s="753"/>
      <c r="V299" s="753"/>
      <c r="W299" s="753"/>
      <c r="X299" s="753"/>
      <c r="Y299" s="753"/>
      <c r="Z299" s="753"/>
      <c r="AA299" s="753"/>
      <c r="AB299" s="753"/>
      <c r="AC299" s="753"/>
      <c r="AD299" s="753"/>
      <c r="AE299" s="753"/>
      <c r="AF299" s="753"/>
      <c r="AG299" s="753"/>
      <c r="AH299" s="753"/>
    </row>
    <row r="300" spans="3:34">
      <c r="C300" s="542"/>
      <c r="D300" s="542"/>
      <c r="E300" s="542"/>
      <c r="F300" s="542"/>
      <c r="G300" s="542"/>
      <c r="H300" s="532">
        <v>16.399999999999999</v>
      </c>
      <c r="I300" s="540" t="str">
        <f t="shared" si="138"/>
        <v>КМС</v>
      </c>
      <c r="J300" s="531" t="str">
        <f t="shared" si="139"/>
        <v>КМС</v>
      </c>
      <c r="K300" s="859"/>
      <c r="L300" s="532">
        <f>H300-0.2</f>
        <v>16.2</v>
      </c>
      <c r="M300" s="540" t="str">
        <f t="shared" si="140"/>
        <v>КМС</v>
      </c>
      <c r="N300" s="540" t="str">
        <f t="shared" si="141"/>
        <v>КМС</v>
      </c>
      <c r="O300" s="531"/>
      <c r="P300" s="753"/>
      <c r="Q300" s="753"/>
      <c r="R300" s="753"/>
      <c r="S300" s="753"/>
      <c r="T300" s="753"/>
      <c r="U300" s="753"/>
      <c r="V300" s="753"/>
      <c r="W300" s="753"/>
      <c r="X300" s="753"/>
      <c r="Y300" s="753"/>
      <c r="Z300" s="753"/>
      <c r="AA300" s="753"/>
      <c r="AB300" s="753"/>
      <c r="AC300" s="753"/>
      <c r="AD300" s="753"/>
      <c r="AE300" s="753"/>
      <c r="AF300" s="753"/>
      <c r="AG300" s="753"/>
      <c r="AH300" s="753"/>
    </row>
    <row r="301" spans="3:34">
      <c r="C301" s="542"/>
      <c r="D301" s="542"/>
      <c r="E301" s="542"/>
      <c r="F301" s="542"/>
      <c r="G301" s="542"/>
      <c r="H301" s="532">
        <v>17.5</v>
      </c>
      <c r="I301" s="540" t="str">
        <f t="shared" si="138"/>
        <v>I</v>
      </c>
      <c r="J301" s="531" t="str">
        <f t="shared" si="139"/>
        <v>I</v>
      </c>
      <c r="K301" s="859"/>
      <c r="L301" s="532">
        <f t="shared" ref="L301:L303" si="142">H301-0.2</f>
        <v>17.3</v>
      </c>
      <c r="M301" s="540" t="str">
        <f t="shared" si="140"/>
        <v>I</v>
      </c>
      <c r="N301" s="540" t="str">
        <f t="shared" si="141"/>
        <v>I</v>
      </c>
      <c r="O301" s="531"/>
      <c r="P301" s="753"/>
      <c r="Q301" s="753"/>
      <c r="R301" s="753"/>
      <c r="S301" s="753"/>
      <c r="T301" s="753"/>
      <c r="U301" s="753"/>
      <c r="V301" s="753"/>
      <c r="W301" s="753"/>
      <c r="X301" s="753"/>
      <c r="Y301" s="753"/>
      <c r="Z301" s="753"/>
      <c r="AA301" s="753"/>
      <c r="AB301" s="753"/>
      <c r="AC301" s="753"/>
      <c r="AD301" s="753"/>
      <c r="AE301" s="753"/>
      <c r="AF301" s="753"/>
      <c r="AG301" s="753"/>
      <c r="AH301" s="753"/>
    </row>
    <row r="302" spans="3:34">
      <c r="C302" s="542"/>
      <c r="D302" s="542"/>
      <c r="E302" s="542"/>
      <c r="F302" s="542"/>
      <c r="G302" s="542"/>
      <c r="H302" s="532">
        <v>19</v>
      </c>
      <c r="I302" s="540" t="str">
        <f t="shared" si="138"/>
        <v>II</v>
      </c>
      <c r="J302" s="531" t="str">
        <f t="shared" si="139"/>
        <v>II</v>
      </c>
      <c r="K302" s="859"/>
      <c r="L302" s="532">
        <f t="shared" si="142"/>
        <v>18.8</v>
      </c>
      <c r="M302" s="540" t="str">
        <f t="shared" si="140"/>
        <v>II</v>
      </c>
      <c r="N302" s="540" t="str">
        <f t="shared" si="141"/>
        <v>II</v>
      </c>
      <c r="O302" s="531"/>
      <c r="P302" s="753"/>
      <c r="Q302" s="753"/>
      <c r="R302" s="753"/>
      <c r="S302" s="753"/>
      <c r="T302" s="753"/>
      <c r="U302" s="753"/>
      <c r="V302" s="753"/>
      <c r="W302" s="753"/>
      <c r="X302" s="753"/>
      <c r="Y302" s="753"/>
      <c r="Z302" s="753"/>
      <c r="AA302" s="753"/>
      <c r="AB302" s="753"/>
      <c r="AC302" s="753"/>
      <c r="AD302" s="753"/>
      <c r="AE302" s="753"/>
      <c r="AF302" s="753"/>
      <c r="AG302" s="753"/>
      <c r="AH302" s="753"/>
    </row>
    <row r="303" spans="3:34">
      <c r="C303" s="542"/>
      <c r="D303" s="542"/>
      <c r="E303" s="542"/>
      <c r="F303" s="542"/>
      <c r="G303" s="542"/>
      <c r="H303" s="532">
        <v>20.6</v>
      </c>
      <c r="I303" s="540" t="str">
        <f t="shared" si="138"/>
        <v>III</v>
      </c>
      <c r="J303" s="531" t="str">
        <f t="shared" si="139"/>
        <v>III</v>
      </c>
      <c r="K303" s="859"/>
      <c r="L303" s="532">
        <f t="shared" si="142"/>
        <v>20.400000000000002</v>
      </c>
      <c r="M303" s="540" t="str">
        <f t="shared" si="140"/>
        <v>III</v>
      </c>
      <c r="N303" s="540" t="str">
        <f t="shared" si="141"/>
        <v>III</v>
      </c>
      <c r="O303" s="531"/>
      <c r="P303" s="753"/>
      <c r="Q303" s="753"/>
      <c r="R303" s="753"/>
      <c r="S303" s="753"/>
      <c r="T303" s="753"/>
      <c r="U303" s="753"/>
      <c r="V303" s="753"/>
      <c r="W303" s="753"/>
      <c r="X303" s="753"/>
      <c r="Y303" s="753"/>
      <c r="Z303" s="753"/>
      <c r="AA303" s="753"/>
      <c r="AB303" s="753"/>
      <c r="AC303" s="753"/>
      <c r="AD303" s="753"/>
      <c r="AE303" s="753"/>
      <c r="AF303" s="753"/>
      <c r="AG303" s="753"/>
      <c r="AH303" s="753"/>
    </row>
    <row r="304" spans="3:34">
      <c r="C304" s="542"/>
      <c r="D304" s="542"/>
      <c r="E304" s="542"/>
      <c r="F304" s="542"/>
      <c r="G304" s="542"/>
      <c r="H304" s="532"/>
      <c r="I304" s="540"/>
      <c r="J304" s="531"/>
      <c r="K304" s="859"/>
      <c r="L304" s="532"/>
      <c r="M304" s="540"/>
      <c r="N304" s="540"/>
      <c r="O304" s="531"/>
      <c r="P304" s="753"/>
      <c r="Q304" s="753"/>
      <c r="R304" s="753"/>
      <c r="S304" s="753"/>
      <c r="T304" s="753"/>
      <c r="U304" s="753"/>
      <c r="V304" s="753"/>
      <c r="W304" s="753"/>
      <c r="X304" s="753"/>
      <c r="Y304" s="753"/>
      <c r="Z304" s="753"/>
      <c r="AA304" s="753"/>
      <c r="AB304" s="753"/>
      <c r="AC304" s="753"/>
      <c r="AD304" s="753"/>
      <c r="AE304" s="753"/>
      <c r="AF304" s="753"/>
      <c r="AG304" s="753"/>
      <c r="AH304" s="753"/>
    </row>
    <row r="305" spans="3:34">
      <c r="C305" s="546" t="s">
        <v>386</v>
      </c>
      <c r="K305" s="863"/>
    </row>
    <row r="306" spans="3:34">
      <c r="C306" s="542"/>
      <c r="D306" s="542"/>
      <c r="E306" s="542"/>
      <c r="F306" s="542"/>
      <c r="G306" s="854" t="s">
        <v>753</v>
      </c>
      <c r="H306" s="853"/>
      <c r="I306" s="540"/>
      <c r="J306" s="540"/>
      <c r="K306" s="862"/>
      <c r="L306" s="853">
        <v>155</v>
      </c>
      <c r="M306" s="540" t="str">
        <f>IF(ISBLANK(L306)," ",IF(ISTEXT(L306)," ",IF(L306&gt;=155,"МСМК",IF(L306&gt;=128,"МС",IF(L306&gt;=103,"КМС",IF(L306&gt;=88,"I",IF(L306&gt;=71,"II",IF(L306&gt;=53,"III","б/р"))))))))</f>
        <v>МСМК</v>
      </c>
      <c r="N306" s="540" t="str">
        <f t="shared" ref="N306:N310" si="143">IF(ISBLANK(L306)," ",IF(ISTEXT(L306)," ",IF(L306&gt;=155,"МСМК",IF(L306&gt;=128,"МС",IF(L306&gt;=103,"КМС",IF(L306&gt;=88,"I",IF(L306&gt;=71,"II",IF(L306&gt;=53,"III","б/р"))))))))</f>
        <v>МСМК</v>
      </c>
      <c r="O306" s="540"/>
      <c r="P306" s="753"/>
      <c r="Q306" s="753"/>
      <c r="R306" s="753"/>
      <c r="S306" s="753"/>
      <c r="T306" s="753"/>
      <c r="U306" s="753"/>
      <c r="V306" s="753"/>
      <c r="W306" s="753"/>
      <c r="X306" s="753"/>
      <c r="Y306" s="753"/>
      <c r="Z306" s="753"/>
      <c r="AA306" s="753"/>
      <c r="AB306" s="753"/>
      <c r="AC306" s="753"/>
      <c r="AD306" s="753"/>
      <c r="AE306" s="753"/>
      <c r="AF306" s="753"/>
      <c r="AG306" s="753"/>
      <c r="AH306" s="753"/>
    </row>
    <row r="307" spans="3:34">
      <c r="C307" s="542"/>
      <c r="D307" s="542"/>
      <c r="E307" s="542"/>
      <c r="F307" s="542"/>
      <c r="G307" s="854" t="s">
        <v>753</v>
      </c>
      <c r="H307" s="853"/>
      <c r="I307" s="540"/>
      <c r="J307" s="540"/>
      <c r="K307" s="862"/>
      <c r="L307" s="853">
        <v>128</v>
      </c>
      <c r="M307" s="540" t="str">
        <f t="shared" ref="M307:M311" si="144">IF(ISBLANK(L307)," ",IF(ISTEXT(L307)," ",IF(L307&gt;=155,"МСМК",IF(L307&gt;=128,"МС",IF(L307&gt;=103,"КМС",IF(L307&gt;=88,"I",IF(L307&gt;=71,"II",IF(L307&gt;=53,"III","б/р"))))))))</f>
        <v>МС</v>
      </c>
      <c r="N307" s="540" t="str">
        <f t="shared" si="143"/>
        <v>МС</v>
      </c>
      <c r="O307" s="540"/>
      <c r="P307" s="753"/>
      <c r="Q307" s="753"/>
      <c r="R307" s="753"/>
      <c r="S307" s="753"/>
      <c r="T307" s="753"/>
      <c r="U307" s="753"/>
      <c r="V307" s="753"/>
      <c r="W307" s="753"/>
      <c r="X307" s="753"/>
      <c r="Y307" s="753"/>
      <c r="Z307" s="753"/>
      <c r="AA307" s="753"/>
      <c r="AB307" s="753"/>
      <c r="AC307" s="753"/>
      <c r="AD307" s="753"/>
      <c r="AE307" s="753"/>
      <c r="AF307" s="753"/>
      <c r="AG307" s="753"/>
      <c r="AH307" s="753"/>
    </row>
    <row r="308" spans="3:34">
      <c r="C308" s="542"/>
      <c r="D308" s="542"/>
      <c r="E308" s="542"/>
      <c r="F308" s="542"/>
      <c r="G308" s="854" t="s">
        <v>753</v>
      </c>
      <c r="H308" s="853"/>
      <c r="I308" s="540"/>
      <c r="J308" s="540"/>
      <c r="K308" s="862"/>
      <c r="L308" s="853">
        <v>103</v>
      </c>
      <c r="M308" s="540" t="str">
        <f t="shared" si="144"/>
        <v>КМС</v>
      </c>
      <c r="N308" s="540" t="str">
        <f t="shared" si="143"/>
        <v>КМС</v>
      </c>
      <c r="O308" s="540"/>
      <c r="P308" s="753"/>
      <c r="Q308" s="753"/>
      <c r="R308" s="753"/>
      <c r="S308" s="753"/>
      <c r="T308" s="753"/>
      <c r="U308" s="753"/>
      <c r="V308" s="753"/>
      <c r="W308" s="753"/>
      <c r="X308" s="753"/>
      <c r="Y308" s="753"/>
      <c r="Z308" s="753"/>
      <c r="AA308" s="753"/>
      <c r="AB308" s="753"/>
      <c r="AC308" s="753"/>
      <c r="AD308" s="753"/>
      <c r="AE308" s="753"/>
      <c r="AF308" s="753"/>
      <c r="AG308" s="753"/>
      <c r="AH308" s="753"/>
    </row>
    <row r="309" spans="3:34">
      <c r="C309" s="542"/>
      <c r="D309" s="542"/>
      <c r="E309" s="542"/>
      <c r="F309" s="542"/>
      <c r="G309" s="854" t="s">
        <v>753</v>
      </c>
      <c r="H309" s="853"/>
      <c r="I309" s="540"/>
      <c r="J309" s="540"/>
      <c r="K309" s="862"/>
      <c r="L309" s="853">
        <v>88</v>
      </c>
      <c r="M309" s="540" t="str">
        <f t="shared" si="144"/>
        <v>I</v>
      </c>
      <c r="N309" s="540" t="str">
        <f t="shared" si="143"/>
        <v>I</v>
      </c>
      <c r="O309" s="540"/>
      <c r="P309" s="753"/>
      <c r="Q309" s="753"/>
      <c r="R309" s="753"/>
      <c r="S309" s="753"/>
      <c r="T309" s="753"/>
      <c r="U309" s="753"/>
      <c r="V309" s="753"/>
      <c r="W309" s="753"/>
      <c r="X309" s="753"/>
      <c r="Y309" s="753"/>
      <c r="Z309" s="753"/>
      <c r="AA309" s="753"/>
      <c r="AB309" s="753"/>
      <c r="AC309" s="753"/>
      <c r="AD309" s="753"/>
      <c r="AE309" s="753"/>
      <c r="AF309" s="753"/>
      <c r="AG309" s="753"/>
      <c r="AH309" s="753"/>
    </row>
    <row r="310" spans="3:34">
      <c r="C310" s="542"/>
      <c r="D310" s="542"/>
      <c r="E310" s="542"/>
      <c r="F310" s="542"/>
      <c r="G310" s="854" t="s">
        <v>753</v>
      </c>
      <c r="H310" s="853"/>
      <c r="I310" s="540"/>
      <c r="J310" s="540"/>
      <c r="K310" s="862"/>
      <c r="L310" s="853">
        <v>71</v>
      </c>
      <c r="M310" s="540" t="str">
        <f t="shared" si="144"/>
        <v>II</v>
      </c>
      <c r="N310" s="540" t="str">
        <f t="shared" si="143"/>
        <v>II</v>
      </c>
      <c r="O310" s="540"/>
      <c r="P310" s="753"/>
      <c r="Q310" s="753"/>
      <c r="R310" s="753"/>
      <c r="S310" s="753"/>
      <c r="T310" s="753"/>
      <c r="U310" s="753"/>
      <c r="V310" s="753"/>
      <c r="W310" s="753"/>
      <c r="X310" s="753"/>
      <c r="Y310" s="753"/>
      <c r="Z310" s="753"/>
      <c r="AA310" s="753"/>
      <c r="AB310" s="753"/>
      <c r="AC310" s="753"/>
      <c r="AD310" s="753"/>
      <c r="AE310" s="753"/>
      <c r="AF310" s="753"/>
      <c r="AG310" s="753"/>
      <c r="AH310" s="753"/>
    </row>
    <row r="311" spans="3:34">
      <c r="C311" s="542"/>
      <c r="D311" s="542"/>
      <c r="E311" s="542"/>
      <c r="F311" s="542"/>
      <c r="G311" s="854" t="s">
        <v>753</v>
      </c>
      <c r="H311" s="853"/>
      <c r="I311" s="540"/>
      <c r="J311" s="540"/>
      <c r="K311" s="862"/>
      <c r="L311" s="853">
        <v>53</v>
      </c>
      <c r="M311" s="540" t="str">
        <f t="shared" si="144"/>
        <v>III</v>
      </c>
      <c r="N311" s="540" t="str">
        <f>IF(ISBLANK(L311)," ",IF(ISTEXT(L311)," ",IF(L311&gt;=155,"МСМК",IF(L311&gt;=128,"МС",IF(L311&gt;=103,"КМС",IF(L311&gt;=88,"I",IF(L311&gt;=71,"II",IF(L311&gt;=53,"III","б/р"))))))))</f>
        <v>III</v>
      </c>
      <c r="O311" s="540"/>
      <c r="P311" s="753"/>
      <c r="Q311" s="753"/>
      <c r="R311" s="753"/>
      <c r="S311" s="753"/>
      <c r="T311" s="753"/>
      <c r="U311" s="753"/>
      <c r="V311" s="753"/>
      <c r="W311" s="753"/>
      <c r="X311" s="753"/>
      <c r="Y311" s="753"/>
      <c r="Z311" s="753"/>
      <c r="AA311" s="753"/>
      <c r="AB311" s="753"/>
      <c r="AC311" s="753"/>
      <c r="AD311" s="753"/>
      <c r="AE311" s="753"/>
      <c r="AF311" s="753"/>
      <c r="AG311" s="753"/>
      <c r="AH311" s="753"/>
    </row>
    <row r="312" spans="3:34">
      <c r="C312" s="546"/>
      <c r="K312" s="863"/>
    </row>
    <row r="313" spans="3:34">
      <c r="C313" s="546" t="s">
        <v>418</v>
      </c>
      <c r="K313" s="863"/>
    </row>
    <row r="314" spans="3:34">
      <c r="C314" s="542"/>
      <c r="D314" s="542"/>
      <c r="E314" s="542"/>
      <c r="F314" s="542"/>
      <c r="G314" s="854" t="s">
        <v>753</v>
      </c>
      <c r="H314" s="853"/>
      <c r="I314" s="540"/>
      <c r="J314" s="540"/>
      <c r="K314" s="862"/>
      <c r="L314" s="853">
        <v>185</v>
      </c>
      <c r="M314" s="540" t="str">
        <f t="shared" ref="M314:M318" si="145">IF(ISBLANK(L314)," ",IF(ISTEXT(L314)," ",IF(L314&gt;=165,"МСМК",IF(L314&gt;=155,"МС",IF(L314&gt;=130,"КМС",IF(L314&gt;=115,"I",IF(L314&gt;=96,"II",IF(L314&gt;=76,"III","б/р"))))))))</f>
        <v>МСМК</v>
      </c>
      <c r="N314" s="540" t="str">
        <f t="shared" ref="N314:N318" si="146">IF(ISBLANK(L314)," ",IF(ISTEXT(L314)," ",IF(L314&gt;=165,"МСМК",IF(L314&gt;=155,"МС",IF(L314&gt;=130,"КМС",IF(L314&gt;=115,"I",IF(L314&gt;=96,"II",IF(L314&gt;=76,"III","б/р"))))))))</f>
        <v>МСМК</v>
      </c>
      <c r="O314" s="540"/>
      <c r="P314" s="753"/>
      <c r="Q314" s="753"/>
      <c r="R314" s="753"/>
      <c r="S314" s="753"/>
      <c r="T314" s="753"/>
      <c r="U314" s="753"/>
      <c r="V314" s="753"/>
      <c r="W314" s="753"/>
      <c r="X314" s="753"/>
      <c r="Y314" s="753"/>
      <c r="Z314" s="753"/>
      <c r="AA314" s="753"/>
      <c r="AB314" s="753"/>
      <c r="AC314" s="753"/>
      <c r="AD314" s="753"/>
      <c r="AE314" s="753"/>
      <c r="AF314" s="753"/>
      <c r="AG314" s="753"/>
      <c r="AH314" s="753"/>
    </row>
    <row r="315" spans="3:34">
      <c r="C315" s="542"/>
      <c r="D315" s="542"/>
      <c r="E315" s="542"/>
      <c r="F315" s="542"/>
      <c r="G315" s="854" t="s">
        <v>753</v>
      </c>
      <c r="H315" s="853"/>
      <c r="I315" s="540"/>
      <c r="J315" s="540"/>
      <c r="K315" s="862"/>
      <c r="L315" s="853">
        <v>155</v>
      </c>
      <c r="M315" s="540" t="str">
        <f t="shared" si="145"/>
        <v>МС</v>
      </c>
      <c r="N315" s="540" t="str">
        <f t="shared" si="146"/>
        <v>МС</v>
      </c>
      <c r="O315" s="540"/>
      <c r="P315" s="753"/>
      <c r="Q315" s="753"/>
      <c r="R315" s="753"/>
      <c r="S315" s="753"/>
      <c r="T315" s="753"/>
      <c r="U315" s="753"/>
      <c r="V315" s="753"/>
      <c r="W315" s="753"/>
      <c r="X315" s="753"/>
      <c r="Y315" s="753"/>
      <c r="Z315" s="753"/>
      <c r="AA315" s="753"/>
      <c r="AB315" s="753"/>
      <c r="AC315" s="753"/>
      <c r="AD315" s="753"/>
      <c r="AE315" s="753"/>
      <c r="AF315" s="753"/>
      <c r="AG315" s="753"/>
      <c r="AH315" s="753"/>
    </row>
    <row r="316" spans="3:34">
      <c r="C316" s="542"/>
      <c r="D316" s="542"/>
      <c r="E316" s="542"/>
      <c r="F316" s="542"/>
      <c r="G316" s="854" t="s">
        <v>753</v>
      </c>
      <c r="H316" s="853"/>
      <c r="I316" s="540"/>
      <c r="J316" s="540"/>
      <c r="K316" s="862"/>
      <c r="L316" s="853">
        <v>130</v>
      </c>
      <c r="M316" s="540" t="str">
        <f t="shared" si="145"/>
        <v>КМС</v>
      </c>
      <c r="N316" s="540" t="str">
        <f t="shared" si="146"/>
        <v>КМС</v>
      </c>
      <c r="O316" s="540"/>
      <c r="P316" s="753"/>
      <c r="Q316" s="753"/>
      <c r="R316" s="753"/>
      <c r="S316" s="753"/>
      <c r="T316" s="753"/>
      <c r="U316" s="753"/>
      <c r="V316" s="753"/>
      <c r="W316" s="753"/>
      <c r="X316" s="753"/>
      <c r="Y316" s="753"/>
      <c r="Z316" s="753"/>
      <c r="AA316" s="753"/>
      <c r="AB316" s="753"/>
      <c r="AC316" s="753"/>
      <c r="AD316" s="753"/>
      <c r="AE316" s="753"/>
      <c r="AF316" s="753"/>
      <c r="AG316" s="753"/>
      <c r="AH316" s="753"/>
    </row>
    <row r="317" spans="3:34">
      <c r="C317" s="542"/>
      <c r="D317" s="542"/>
      <c r="E317" s="542"/>
      <c r="F317" s="542"/>
      <c r="G317" s="854" t="s">
        <v>753</v>
      </c>
      <c r="H317" s="853"/>
      <c r="I317" s="540"/>
      <c r="J317" s="540"/>
      <c r="K317" s="862"/>
      <c r="L317" s="853">
        <v>115</v>
      </c>
      <c r="M317" s="540" t="str">
        <f t="shared" si="145"/>
        <v>I</v>
      </c>
      <c r="N317" s="540" t="str">
        <f t="shared" si="146"/>
        <v>I</v>
      </c>
      <c r="O317" s="540"/>
      <c r="P317" s="753"/>
      <c r="Q317" s="753"/>
      <c r="R317" s="753"/>
      <c r="S317" s="753"/>
      <c r="T317" s="753"/>
      <c r="U317" s="753"/>
      <c r="V317" s="753"/>
      <c r="W317" s="753"/>
      <c r="X317" s="753"/>
      <c r="Y317" s="753"/>
      <c r="Z317" s="753"/>
      <c r="AA317" s="753"/>
      <c r="AB317" s="753"/>
      <c r="AC317" s="753"/>
      <c r="AD317" s="753"/>
      <c r="AE317" s="753"/>
      <c r="AF317" s="753"/>
      <c r="AG317" s="753"/>
      <c r="AH317" s="753"/>
    </row>
    <row r="318" spans="3:34">
      <c r="C318" s="542"/>
      <c r="D318" s="542"/>
      <c r="E318" s="542"/>
      <c r="F318" s="542"/>
      <c r="G318" s="854" t="s">
        <v>753</v>
      </c>
      <c r="H318" s="853"/>
      <c r="I318" s="540"/>
      <c r="J318" s="540"/>
      <c r="K318" s="862"/>
      <c r="L318" s="853">
        <v>96</v>
      </c>
      <c r="M318" s="540" t="str">
        <f t="shared" si="145"/>
        <v>II</v>
      </c>
      <c r="N318" s="540" t="str">
        <f t="shared" si="146"/>
        <v>II</v>
      </c>
      <c r="O318" s="540"/>
      <c r="P318" s="753"/>
      <c r="Q318" s="753"/>
      <c r="R318" s="753"/>
      <c r="S318" s="753"/>
      <c r="T318" s="753"/>
      <c r="U318" s="753"/>
      <c r="V318" s="753"/>
      <c r="W318" s="753"/>
      <c r="X318" s="753"/>
      <c r="Y318" s="753"/>
      <c r="Z318" s="753"/>
      <c r="AA318" s="753"/>
      <c r="AB318" s="753"/>
      <c r="AC318" s="753"/>
      <c r="AD318" s="753"/>
      <c r="AE318" s="753"/>
      <c r="AF318" s="753"/>
      <c r="AG318" s="753"/>
      <c r="AH318" s="753"/>
    </row>
    <row r="319" spans="3:34">
      <c r="C319" s="542"/>
      <c r="D319" s="542"/>
      <c r="E319" s="542"/>
      <c r="F319" s="542"/>
      <c r="G319" s="854" t="s">
        <v>753</v>
      </c>
      <c r="H319" s="853"/>
      <c r="I319" s="540"/>
      <c r="J319" s="540"/>
      <c r="K319" s="862"/>
      <c r="L319" s="853">
        <v>76</v>
      </c>
      <c r="M319" s="540" t="str">
        <f>IF(ISBLANK(L319)," ",IF(ISTEXT(L319)," ",IF(L319&gt;=165,"МСМК",IF(L319&gt;=155,"МС",IF(L319&gt;=130,"КМС",IF(L319&gt;=115,"I",IF(L319&gt;=96,"II",IF(L319&gt;=76,"III","б/р"))))))))</f>
        <v>III</v>
      </c>
      <c r="N319" s="540" t="str">
        <f>IF(ISBLANK(L319)," ",IF(ISTEXT(L319)," ",IF(L319&gt;=165,"МСМК",IF(L319&gt;=155,"МС",IF(L319&gt;=130,"КМС",IF(L319&gt;=115,"I",IF(L319&gt;=96,"II",IF(L319&gt;=76,"III","б/р"))))))))</f>
        <v>III</v>
      </c>
      <c r="O319" s="540"/>
      <c r="P319" s="753"/>
      <c r="Q319" s="753"/>
      <c r="R319" s="753"/>
      <c r="S319" s="753"/>
      <c r="T319" s="753"/>
      <c r="U319" s="753"/>
      <c r="V319" s="753"/>
      <c r="W319" s="753"/>
      <c r="X319" s="753"/>
      <c r="Y319" s="753"/>
      <c r="Z319" s="753"/>
      <c r="AA319" s="753"/>
      <c r="AB319" s="753"/>
      <c r="AC319" s="753"/>
      <c r="AD319" s="753"/>
      <c r="AE319" s="753"/>
      <c r="AF319" s="753"/>
      <c r="AG319" s="753"/>
      <c r="AH319" s="753"/>
    </row>
    <row r="320" spans="3:34" ht="15" customHeight="1">
      <c r="C320" s="542"/>
      <c r="D320" s="542"/>
      <c r="E320" s="542"/>
      <c r="F320" s="542"/>
      <c r="G320" s="542"/>
      <c r="H320" s="541"/>
      <c r="I320" s="541"/>
      <c r="J320" s="542"/>
      <c r="K320" s="860"/>
    </row>
    <row r="321" spans="3:34">
      <c r="C321" s="546" t="s">
        <v>387</v>
      </c>
      <c r="K321" s="863"/>
    </row>
    <row r="322" spans="3:34">
      <c r="C322" s="542"/>
      <c r="D322" s="542"/>
      <c r="E322" s="542"/>
      <c r="F322" s="542"/>
      <c r="G322" s="854" t="s">
        <v>753</v>
      </c>
      <c r="H322" s="853"/>
      <c r="I322" s="540"/>
      <c r="J322" s="540"/>
      <c r="K322" s="862"/>
      <c r="L322" s="853">
        <v>219</v>
      </c>
      <c r="M322" s="540" t="str">
        <f t="shared" ref="M322:M326" si="147">IF(ISBLANK(L322)," ",IF(ISTEXT(L322)," ",IF(L322&gt;=219,"МСМК",IF(L322&gt;=178,"МС",IF(L322&gt;=148,"КМС",IF(L322&gt;=115,"I",IF(L322&gt;=82,"II",IF(L322&gt;=64,"III","б/р"))))))))</f>
        <v>МСМК</v>
      </c>
      <c r="N322" s="540" t="str">
        <f t="shared" ref="N322:N326" si="148">IF(ISBLANK(L322)," ",IF(ISTEXT(L322)," ",IF(L322&gt;=219,"МСМК",IF(L322&gt;=178,"МС",IF(L322&gt;=148,"КМС",IF(L322&gt;=115,"I",IF(L322&gt;=82,"II",IF(L322&gt;=64,"III","б/р"))))))))</f>
        <v>МСМК</v>
      </c>
      <c r="O322" s="540"/>
      <c r="P322" s="753"/>
      <c r="Q322" s="753"/>
      <c r="R322" s="753"/>
      <c r="S322" s="753"/>
      <c r="T322" s="753"/>
      <c r="U322" s="753"/>
      <c r="V322" s="753"/>
      <c r="W322" s="753"/>
      <c r="X322" s="753"/>
      <c r="Y322" s="753"/>
      <c r="Z322" s="753"/>
      <c r="AA322" s="753"/>
      <c r="AB322" s="753"/>
      <c r="AC322" s="753"/>
      <c r="AD322" s="753"/>
      <c r="AE322" s="753"/>
      <c r="AF322" s="753"/>
      <c r="AG322" s="753"/>
      <c r="AH322" s="753"/>
    </row>
    <row r="323" spans="3:34">
      <c r="C323" s="542"/>
      <c r="D323" s="542"/>
      <c r="E323" s="542"/>
      <c r="F323" s="542"/>
      <c r="G323" s="854" t="s">
        <v>753</v>
      </c>
      <c r="H323" s="853"/>
      <c r="I323" s="540"/>
      <c r="J323" s="540"/>
      <c r="K323" s="862"/>
      <c r="L323" s="853">
        <v>178</v>
      </c>
      <c r="M323" s="540" t="str">
        <f t="shared" si="147"/>
        <v>МС</v>
      </c>
      <c r="N323" s="540" t="str">
        <f t="shared" si="148"/>
        <v>МС</v>
      </c>
      <c r="O323" s="540"/>
      <c r="P323" s="753"/>
      <c r="Q323" s="753"/>
      <c r="R323" s="753"/>
      <c r="S323" s="753"/>
      <c r="T323" s="753"/>
      <c r="U323" s="753"/>
      <c r="V323" s="753"/>
      <c r="W323" s="753"/>
      <c r="X323" s="753"/>
      <c r="Y323" s="753"/>
      <c r="Z323" s="753"/>
      <c r="AA323" s="753"/>
      <c r="AB323" s="753"/>
      <c r="AC323" s="753"/>
      <c r="AD323" s="753"/>
      <c r="AE323" s="753"/>
      <c r="AF323" s="753"/>
      <c r="AG323" s="753"/>
      <c r="AH323" s="753"/>
    </row>
    <row r="324" spans="3:34">
      <c r="C324" s="542"/>
      <c r="D324" s="542"/>
      <c r="E324" s="542"/>
      <c r="F324" s="542"/>
      <c r="G324" s="854" t="s">
        <v>753</v>
      </c>
      <c r="H324" s="853"/>
      <c r="I324" s="540"/>
      <c r="J324" s="540"/>
      <c r="K324" s="862"/>
      <c r="L324" s="853">
        <v>148</v>
      </c>
      <c r="M324" s="540" t="str">
        <f t="shared" si="147"/>
        <v>КМС</v>
      </c>
      <c r="N324" s="540" t="str">
        <f t="shared" si="148"/>
        <v>КМС</v>
      </c>
      <c r="O324" s="540"/>
      <c r="P324" s="753"/>
      <c r="Q324" s="753"/>
      <c r="R324" s="753"/>
      <c r="S324" s="753"/>
      <c r="T324" s="753"/>
      <c r="U324" s="753"/>
      <c r="V324" s="753"/>
      <c r="W324" s="753"/>
      <c r="X324" s="753"/>
      <c r="Y324" s="753"/>
      <c r="Z324" s="753"/>
      <c r="AA324" s="753"/>
      <c r="AB324" s="753"/>
      <c r="AC324" s="753"/>
      <c r="AD324" s="753"/>
      <c r="AE324" s="753"/>
      <c r="AF324" s="753"/>
      <c r="AG324" s="753"/>
      <c r="AH324" s="753"/>
    </row>
    <row r="325" spans="3:34">
      <c r="C325" s="542"/>
      <c r="D325" s="542"/>
      <c r="E325" s="542"/>
      <c r="F325" s="542"/>
      <c r="G325" s="854" t="s">
        <v>753</v>
      </c>
      <c r="H325" s="853"/>
      <c r="I325" s="540"/>
      <c r="J325" s="540"/>
      <c r="K325" s="862"/>
      <c r="L325" s="853">
        <v>115</v>
      </c>
      <c r="M325" s="540" t="str">
        <f t="shared" si="147"/>
        <v>I</v>
      </c>
      <c r="N325" s="540" t="str">
        <f t="shared" si="148"/>
        <v>I</v>
      </c>
      <c r="O325" s="540"/>
      <c r="P325" s="753"/>
      <c r="Q325" s="753"/>
      <c r="R325" s="753"/>
      <c r="S325" s="753"/>
      <c r="T325" s="753"/>
      <c r="U325" s="753"/>
      <c r="V325" s="753"/>
      <c r="W325" s="753"/>
      <c r="X325" s="753"/>
      <c r="Y325" s="753"/>
      <c r="Z325" s="753"/>
      <c r="AA325" s="753"/>
      <c r="AB325" s="753"/>
      <c r="AC325" s="753"/>
      <c r="AD325" s="753"/>
      <c r="AE325" s="753"/>
      <c r="AF325" s="753"/>
      <c r="AG325" s="753"/>
      <c r="AH325" s="753"/>
    </row>
    <row r="326" spans="3:34">
      <c r="C326" s="542"/>
      <c r="D326" s="542"/>
      <c r="E326" s="542"/>
      <c r="F326" s="542"/>
      <c r="G326" s="854" t="s">
        <v>753</v>
      </c>
      <c r="H326" s="853"/>
      <c r="I326" s="540"/>
      <c r="J326" s="540"/>
      <c r="K326" s="862"/>
      <c r="L326" s="853">
        <v>82</v>
      </c>
      <c r="M326" s="540" t="str">
        <f t="shared" si="147"/>
        <v>II</v>
      </c>
      <c r="N326" s="540" t="str">
        <f t="shared" si="148"/>
        <v>II</v>
      </c>
      <c r="O326" s="540"/>
      <c r="P326" s="753"/>
      <c r="Q326" s="753"/>
      <c r="R326" s="753"/>
      <c r="S326" s="753"/>
      <c r="T326" s="753"/>
      <c r="U326" s="753"/>
      <c r="V326" s="753"/>
      <c r="W326" s="753"/>
      <c r="X326" s="753"/>
      <c r="Y326" s="753"/>
      <c r="Z326" s="753"/>
      <c r="AA326" s="753"/>
      <c r="AB326" s="753"/>
      <c r="AC326" s="753"/>
      <c r="AD326" s="753"/>
      <c r="AE326" s="753"/>
      <c r="AF326" s="753"/>
      <c r="AG326" s="753"/>
      <c r="AH326" s="753"/>
    </row>
    <row r="327" spans="3:34">
      <c r="C327" s="542"/>
      <c r="D327" s="542"/>
      <c r="E327" s="542"/>
      <c r="F327" s="542"/>
      <c r="G327" s="854" t="s">
        <v>753</v>
      </c>
      <c r="H327" s="853"/>
      <c r="I327" s="540"/>
      <c r="J327" s="540"/>
      <c r="K327" s="862"/>
      <c r="L327" s="853">
        <v>64</v>
      </c>
      <c r="M327" s="540" t="str">
        <f>IF(ISBLANK(L327)," ",IF(ISTEXT(L327)," ",IF(L327&gt;=219,"МСМК",IF(L327&gt;=178,"МС",IF(L327&gt;=148,"КМС",IF(L327&gt;=115,"I",IF(L327&gt;=82,"II",IF(L327&gt;=64,"III","б/р"))))))))</f>
        <v>III</v>
      </c>
      <c r="N327" s="540" t="str">
        <f>IF(ISBLANK(L327)," ",IF(ISTEXT(L327)," ",IF(L327&gt;=219,"МСМК",IF(L327&gt;=178,"МС",IF(L327&gt;=148,"КМС",IF(L327&gt;=115,"I",IF(L327&gt;=82,"II",IF(L327&gt;=64,"III","б/р"))))))))</f>
        <v>III</v>
      </c>
      <c r="O327" s="540"/>
      <c r="P327" s="753"/>
      <c r="Q327" s="753"/>
      <c r="R327" s="753"/>
      <c r="S327" s="753"/>
      <c r="T327" s="753"/>
      <c r="U327" s="753"/>
      <c r="V327" s="753"/>
      <c r="W327" s="753"/>
      <c r="X327" s="753"/>
      <c r="Y327" s="753"/>
      <c r="Z327" s="753"/>
      <c r="AA327" s="753"/>
      <c r="AB327" s="753"/>
      <c r="AC327" s="753"/>
      <c r="AD327" s="753"/>
      <c r="AE327" s="753"/>
      <c r="AF327" s="753"/>
      <c r="AG327" s="753"/>
      <c r="AH327" s="753"/>
    </row>
    <row r="328" spans="3:34">
      <c r="C328" s="546"/>
      <c r="K328" s="863"/>
      <c r="L328" s="751"/>
    </row>
    <row r="329" spans="3:34">
      <c r="C329" s="546" t="s">
        <v>419</v>
      </c>
      <c r="K329" s="863"/>
      <c r="L329" s="751"/>
    </row>
    <row r="330" spans="3:34">
      <c r="C330" s="542"/>
      <c r="D330" s="542"/>
      <c r="E330" s="542"/>
      <c r="F330" s="542"/>
      <c r="G330" s="854" t="s">
        <v>753</v>
      </c>
      <c r="H330" s="853"/>
      <c r="I330" s="540"/>
      <c r="J330" s="540"/>
      <c r="K330" s="862"/>
      <c r="L330" s="853">
        <v>248</v>
      </c>
      <c r="M330" s="540" t="str">
        <f t="shared" ref="M330:M334" si="149">IF(ISBLANK(L330)," ",IF(ISTEXT(L330)," ",IF(L330&gt;=248,"МСМК",IF(L330&gt;=208,"МС",IF(L330&gt;=180,"КМС",IF(L330&gt;=148,"I",IF(L330&gt;=104,"II",IF(L330&gt;=85,"III","б/р"))))))))</f>
        <v>МСМК</v>
      </c>
      <c r="N330" s="540" t="str">
        <f t="shared" ref="N330:N334" si="150">IF(ISBLANK(L330)," ",IF(ISTEXT(L330)," ",IF(L330&gt;=248,"МСМК",IF(L330&gt;=208,"МС",IF(L330&gt;=180,"КМС",IF(L330&gt;=148,"I",IF(L330&gt;=104,"II",IF(L330&gt;=85,"III","б/р"))))))))</f>
        <v>МСМК</v>
      </c>
      <c r="O330" s="540"/>
      <c r="P330" s="753"/>
      <c r="Q330" s="753"/>
      <c r="R330" s="753"/>
      <c r="S330" s="753"/>
      <c r="T330" s="753"/>
      <c r="U330" s="753"/>
      <c r="V330" s="753"/>
      <c r="W330" s="753"/>
      <c r="X330" s="753"/>
      <c r="Y330" s="753"/>
      <c r="Z330" s="753"/>
      <c r="AA330" s="753"/>
      <c r="AB330" s="753"/>
      <c r="AC330" s="753"/>
      <c r="AD330" s="753"/>
      <c r="AE330" s="753"/>
      <c r="AF330" s="753"/>
      <c r="AG330" s="753"/>
      <c r="AH330" s="753"/>
    </row>
    <row r="331" spans="3:34">
      <c r="C331" s="542"/>
      <c r="D331" s="542"/>
      <c r="E331" s="542"/>
      <c r="F331" s="542"/>
      <c r="G331" s="854" t="s">
        <v>753</v>
      </c>
      <c r="H331" s="853"/>
      <c r="I331" s="540"/>
      <c r="J331" s="540"/>
      <c r="K331" s="862"/>
      <c r="L331" s="853">
        <v>208</v>
      </c>
      <c r="M331" s="540" t="str">
        <f t="shared" si="149"/>
        <v>МС</v>
      </c>
      <c r="N331" s="540" t="str">
        <f t="shared" si="150"/>
        <v>МС</v>
      </c>
      <c r="O331" s="540"/>
      <c r="P331" s="753"/>
      <c r="Q331" s="753"/>
      <c r="R331" s="753"/>
      <c r="S331" s="753"/>
      <c r="T331" s="753"/>
      <c r="U331" s="753"/>
      <c r="V331" s="753"/>
      <c r="W331" s="753"/>
      <c r="X331" s="753"/>
      <c r="Y331" s="753"/>
      <c r="Z331" s="753"/>
      <c r="AA331" s="753"/>
      <c r="AB331" s="753"/>
      <c r="AC331" s="753"/>
      <c r="AD331" s="753"/>
      <c r="AE331" s="753"/>
      <c r="AF331" s="753"/>
      <c r="AG331" s="753"/>
      <c r="AH331" s="753"/>
    </row>
    <row r="332" spans="3:34">
      <c r="C332" s="542"/>
      <c r="D332" s="542"/>
      <c r="E332" s="542"/>
      <c r="F332" s="542"/>
      <c r="G332" s="854" t="s">
        <v>753</v>
      </c>
      <c r="H332" s="853"/>
      <c r="I332" s="540"/>
      <c r="J332" s="540"/>
      <c r="K332" s="862"/>
      <c r="L332" s="853">
        <v>180</v>
      </c>
      <c r="M332" s="540" t="str">
        <f t="shared" si="149"/>
        <v>КМС</v>
      </c>
      <c r="N332" s="540" t="str">
        <f t="shared" si="150"/>
        <v>КМС</v>
      </c>
      <c r="O332" s="540"/>
      <c r="P332" s="753"/>
      <c r="Q332" s="753"/>
      <c r="R332" s="753"/>
      <c r="S332" s="753"/>
      <c r="T332" s="753"/>
      <c r="U332" s="753"/>
      <c r="V332" s="753"/>
      <c r="W332" s="753"/>
      <c r="X332" s="753"/>
      <c r="Y332" s="753"/>
      <c r="Z332" s="753"/>
      <c r="AA332" s="753"/>
      <c r="AB332" s="753"/>
      <c r="AC332" s="753"/>
      <c r="AD332" s="753"/>
      <c r="AE332" s="753"/>
      <c r="AF332" s="753"/>
      <c r="AG332" s="753"/>
      <c r="AH332" s="753"/>
    </row>
    <row r="333" spans="3:34">
      <c r="C333" s="542"/>
      <c r="D333" s="542"/>
      <c r="E333" s="542"/>
      <c r="F333" s="542"/>
      <c r="G333" s="854" t="s">
        <v>753</v>
      </c>
      <c r="H333" s="853"/>
      <c r="I333" s="540"/>
      <c r="J333" s="540"/>
      <c r="K333" s="862"/>
      <c r="L333" s="853">
        <v>148</v>
      </c>
      <c r="M333" s="540" t="str">
        <f t="shared" si="149"/>
        <v>I</v>
      </c>
      <c r="N333" s="540" t="str">
        <f t="shared" si="150"/>
        <v>I</v>
      </c>
      <c r="O333" s="540"/>
      <c r="P333" s="753"/>
      <c r="Q333" s="753"/>
      <c r="R333" s="753"/>
      <c r="S333" s="753"/>
      <c r="T333" s="753"/>
      <c r="U333" s="753"/>
      <c r="V333" s="753"/>
      <c r="W333" s="753"/>
      <c r="X333" s="753"/>
      <c r="Y333" s="753"/>
      <c r="Z333" s="753"/>
      <c r="AA333" s="753"/>
      <c r="AB333" s="753"/>
      <c r="AC333" s="753"/>
      <c r="AD333" s="753"/>
      <c r="AE333" s="753"/>
      <c r="AF333" s="753"/>
      <c r="AG333" s="753"/>
      <c r="AH333" s="753"/>
    </row>
    <row r="334" spans="3:34">
      <c r="C334" s="542"/>
      <c r="D334" s="542"/>
      <c r="E334" s="542"/>
      <c r="F334" s="542"/>
      <c r="G334" s="854" t="s">
        <v>753</v>
      </c>
      <c r="H334" s="853"/>
      <c r="I334" s="540"/>
      <c r="J334" s="540"/>
      <c r="K334" s="862"/>
      <c r="L334" s="853">
        <v>104</v>
      </c>
      <c r="M334" s="540" t="str">
        <f t="shared" si="149"/>
        <v>II</v>
      </c>
      <c r="N334" s="540" t="str">
        <f t="shared" si="150"/>
        <v>II</v>
      </c>
      <c r="O334" s="540"/>
      <c r="P334" s="753"/>
      <c r="Q334" s="753"/>
      <c r="R334" s="753"/>
      <c r="S334" s="753"/>
      <c r="T334" s="753"/>
      <c r="U334" s="753"/>
      <c r="V334" s="753"/>
      <c r="W334" s="753"/>
      <c r="X334" s="753"/>
      <c r="Y334" s="753"/>
      <c r="Z334" s="753"/>
      <c r="AA334" s="753"/>
      <c r="AB334" s="753"/>
      <c r="AC334" s="753"/>
      <c r="AD334" s="753"/>
      <c r="AE334" s="753"/>
      <c r="AF334" s="753"/>
      <c r="AG334" s="753"/>
      <c r="AH334" s="753"/>
    </row>
    <row r="335" spans="3:34">
      <c r="C335" s="542"/>
      <c r="D335" s="542"/>
      <c r="E335" s="542"/>
      <c r="F335" s="542"/>
      <c r="G335" s="854" t="s">
        <v>753</v>
      </c>
      <c r="H335" s="853"/>
      <c r="I335" s="540"/>
      <c r="J335" s="540"/>
      <c r="K335" s="862"/>
      <c r="L335" s="853">
        <v>85</v>
      </c>
      <c r="M335" s="540" t="str">
        <f>IF(ISBLANK(L335)," ",IF(ISTEXT(L335)," ",IF(L335&gt;=248,"МСМК",IF(L335&gt;=208,"МС",IF(L335&gt;=180,"КМС",IF(L335&gt;=148,"I",IF(L335&gt;=104,"II",IF(L335&gt;=85,"III","б/р"))))))))</f>
        <v>III</v>
      </c>
      <c r="N335" s="540" t="str">
        <f>IF(ISBLANK(L335)," ",IF(ISTEXT(L335)," ",IF(L335&gt;=248,"МСМК",IF(L335&gt;=208,"МС",IF(L335&gt;=180,"КМС",IF(L335&gt;=148,"I",IF(L335&gt;=104,"II",IF(L335&gt;=85,"III","б/р"))))))))</f>
        <v>III</v>
      </c>
      <c r="O335" s="540"/>
      <c r="P335" s="753"/>
      <c r="Q335" s="753"/>
      <c r="R335" s="753"/>
      <c r="S335" s="753"/>
      <c r="T335" s="753"/>
      <c r="U335" s="753"/>
      <c r="V335" s="753"/>
      <c r="W335" s="753"/>
      <c r="X335" s="753"/>
      <c r="Y335" s="753"/>
      <c r="Z335" s="753"/>
      <c r="AA335" s="753"/>
      <c r="AB335" s="753"/>
      <c r="AC335" s="753"/>
      <c r="AD335" s="753"/>
      <c r="AE335" s="753"/>
      <c r="AF335" s="753"/>
      <c r="AG335" s="753"/>
      <c r="AH335" s="753"/>
    </row>
    <row r="336" spans="3:34">
      <c r="C336" s="546"/>
      <c r="K336" s="863"/>
    </row>
    <row r="337" spans="3:34">
      <c r="C337" s="546" t="s">
        <v>1064</v>
      </c>
    </row>
    <row r="338" spans="3:34">
      <c r="C338" s="542"/>
      <c r="D338" s="542"/>
      <c r="E338" s="542"/>
      <c r="F338" s="542"/>
      <c r="G338" s="854" t="s">
        <v>753</v>
      </c>
      <c r="H338" s="853"/>
      <c r="I338" s="540"/>
      <c r="J338" s="540"/>
      <c r="K338" s="862"/>
      <c r="L338" s="853">
        <v>205</v>
      </c>
      <c r="M338" s="540" t="str">
        <f t="shared" ref="M338:M342" si="151">IF(ISBLANK(L338)," ",IF(ISTEXT(L338)," ",IF(L338&gt;=205,"МСМК",IF(L338&gt;=151,"МС",IF(L338&gt;=118,"КМС",IF(L338&gt;=98,"I",IF(L338&gt;=75,"II",IF(L338&gt;=58,"III","б/р"))))))))</f>
        <v>МСМК</v>
      </c>
      <c r="N338" s="540" t="str">
        <f t="shared" ref="N338:N342" si="152">IF(ISBLANK(L338)," ",IF(ISTEXT(L338)," ",IF(L338&gt;=205,"МСМК",IF(L338&gt;=151,"МС",IF(L338&gt;=118,"КМС",IF(L338&gt;=98,"I",IF(L338&gt;=75,"II",IF(L338&gt;=58,"III","б/р"))))))))</f>
        <v>МСМК</v>
      </c>
      <c r="O338" s="540"/>
      <c r="P338" s="753"/>
      <c r="Q338" s="753"/>
      <c r="R338" s="753"/>
      <c r="S338" s="753"/>
      <c r="T338" s="753"/>
      <c r="U338" s="753"/>
      <c r="V338" s="753"/>
      <c r="W338" s="753"/>
      <c r="X338" s="753"/>
      <c r="Y338" s="753"/>
      <c r="Z338" s="753"/>
      <c r="AA338" s="753"/>
      <c r="AB338" s="753"/>
      <c r="AC338" s="753"/>
      <c r="AD338" s="753"/>
      <c r="AE338" s="753"/>
      <c r="AF338" s="753"/>
      <c r="AG338" s="753"/>
      <c r="AH338" s="753"/>
    </row>
    <row r="339" spans="3:34">
      <c r="C339" s="542"/>
      <c r="D339" s="542"/>
      <c r="E339" s="542"/>
      <c r="F339" s="542"/>
      <c r="G339" s="854" t="s">
        <v>753</v>
      </c>
      <c r="H339" s="853"/>
      <c r="I339" s="540"/>
      <c r="J339" s="540"/>
      <c r="K339" s="862"/>
      <c r="L339" s="853">
        <v>151</v>
      </c>
      <c r="M339" s="540" t="str">
        <f t="shared" si="151"/>
        <v>МС</v>
      </c>
      <c r="N339" s="540" t="str">
        <f t="shared" si="152"/>
        <v>МС</v>
      </c>
      <c r="O339" s="540"/>
      <c r="P339" s="753"/>
      <c r="Q339" s="753"/>
      <c r="R339" s="753"/>
      <c r="S339" s="753"/>
      <c r="T339" s="753"/>
      <c r="U339" s="753"/>
      <c r="V339" s="753"/>
      <c r="W339" s="753"/>
      <c r="X339" s="753"/>
      <c r="Y339" s="753"/>
      <c r="Z339" s="753"/>
      <c r="AA339" s="753"/>
      <c r="AB339" s="753"/>
      <c r="AC339" s="753"/>
      <c r="AD339" s="753"/>
      <c r="AE339" s="753"/>
      <c r="AF339" s="753"/>
      <c r="AG339" s="753"/>
      <c r="AH339" s="753"/>
    </row>
    <row r="340" spans="3:34">
      <c r="C340" s="542"/>
      <c r="D340" s="542"/>
      <c r="E340" s="542"/>
      <c r="F340" s="542"/>
      <c r="G340" s="854" t="s">
        <v>753</v>
      </c>
      <c r="H340" s="853"/>
      <c r="I340" s="540"/>
      <c r="J340" s="540"/>
      <c r="K340" s="862"/>
      <c r="L340" s="853">
        <v>118</v>
      </c>
      <c r="M340" s="540" t="str">
        <f t="shared" si="151"/>
        <v>КМС</v>
      </c>
      <c r="N340" s="540" t="str">
        <f t="shared" si="152"/>
        <v>КМС</v>
      </c>
      <c r="O340" s="540"/>
      <c r="P340" s="753"/>
      <c r="Q340" s="753"/>
      <c r="R340" s="753"/>
      <c r="S340" s="753"/>
      <c r="T340" s="753"/>
      <c r="U340" s="753"/>
      <c r="V340" s="753"/>
      <c r="W340" s="753"/>
      <c r="X340" s="753"/>
      <c r="Y340" s="753"/>
      <c r="Z340" s="753"/>
      <c r="AA340" s="753"/>
      <c r="AB340" s="753"/>
      <c r="AC340" s="753"/>
      <c r="AD340" s="753"/>
      <c r="AE340" s="753"/>
      <c r="AF340" s="753"/>
      <c r="AG340" s="753"/>
      <c r="AH340" s="753"/>
    </row>
    <row r="341" spans="3:34">
      <c r="C341" s="542"/>
      <c r="D341" s="542"/>
      <c r="E341" s="542"/>
      <c r="F341" s="542"/>
      <c r="G341" s="854" t="s">
        <v>753</v>
      </c>
      <c r="H341" s="853"/>
      <c r="I341" s="540"/>
      <c r="J341" s="540"/>
      <c r="K341" s="862"/>
      <c r="L341" s="853">
        <v>98</v>
      </c>
      <c r="M341" s="540" t="str">
        <f t="shared" si="151"/>
        <v>I</v>
      </c>
      <c r="N341" s="540" t="str">
        <f t="shared" si="152"/>
        <v>I</v>
      </c>
      <c r="O341" s="540"/>
      <c r="P341" s="753"/>
      <c r="Q341" s="753"/>
      <c r="R341" s="753"/>
      <c r="S341" s="753"/>
      <c r="T341" s="753"/>
      <c r="U341" s="753"/>
      <c r="V341" s="753"/>
      <c r="W341" s="753"/>
      <c r="X341" s="753"/>
      <c r="Y341" s="753"/>
      <c r="Z341" s="753"/>
      <c r="AA341" s="753"/>
      <c r="AB341" s="753"/>
      <c r="AC341" s="753"/>
      <c r="AD341" s="753"/>
      <c r="AE341" s="753"/>
      <c r="AF341" s="753"/>
      <c r="AG341" s="753"/>
      <c r="AH341" s="753"/>
    </row>
    <row r="342" spans="3:34">
      <c r="C342" s="542"/>
      <c r="D342" s="542"/>
      <c r="E342" s="542"/>
      <c r="F342" s="542"/>
      <c r="G342" s="854" t="s">
        <v>753</v>
      </c>
      <c r="H342" s="853"/>
      <c r="I342" s="540"/>
      <c r="J342" s="540"/>
      <c r="K342" s="862"/>
      <c r="L342" s="853">
        <v>75</v>
      </c>
      <c r="M342" s="540" t="str">
        <f t="shared" si="151"/>
        <v>II</v>
      </c>
      <c r="N342" s="540" t="str">
        <f t="shared" si="152"/>
        <v>II</v>
      </c>
      <c r="O342" s="540"/>
      <c r="P342" s="753"/>
      <c r="Q342" s="753"/>
      <c r="R342" s="753"/>
      <c r="S342" s="753"/>
      <c r="T342" s="753"/>
      <c r="U342" s="753"/>
      <c r="V342" s="753"/>
      <c r="W342" s="753"/>
      <c r="X342" s="753"/>
      <c r="Y342" s="753"/>
      <c r="Z342" s="753"/>
      <c r="AA342" s="753"/>
      <c r="AB342" s="753"/>
      <c r="AC342" s="753"/>
      <c r="AD342" s="753"/>
      <c r="AE342" s="753"/>
      <c r="AF342" s="753"/>
      <c r="AG342" s="753"/>
      <c r="AH342" s="753"/>
    </row>
    <row r="343" spans="3:34">
      <c r="C343" s="542"/>
      <c r="D343" s="542"/>
      <c r="E343" s="542"/>
      <c r="F343" s="542"/>
      <c r="G343" s="854" t="s">
        <v>753</v>
      </c>
      <c r="H343" s="853"/>
      <c r="I343" s="540"/>
      <c r="J343" s="540"/>
      <c r="K343" s="862"/>
      <c r="L343" s="853">
        <v>58</v>
      </c>
      <c r="M343" s="540" t="str">
        <f>IF(ISBLANK(L343)," ",IF(ISTEXT(L343)," ",IF(L343&gt;=205,"МСМК",IF(L343&gt;=151,"МС",IF(L343&gt;=118,"КМС",IF(L343&gt;=98,"I",IF(L343&gt;=75,"II",IF(L343&gt;=58,"III","б/р"))))))))</f>
        <v>III</v>
      </c>
      <c r="N343" s="540" t="str">
        <f>IF(ISBLANK(L343)," ",IF(ISTEXT(L343)," ",IF(L343&gt;=205,"МСМК",IF(L343&gt;=151,"МС",IF(L343&gt;=118,"КМС",IF(L343&gt;=98,"I",IF(L343&gt;=75,"II",IF(L343&gt;=58,"III","б/р"))))))))</f>
        <v>III</v>
      </c>
      <c r="O343" s="540"/>
      <c r="P343" s="753"/>
      <c r="Q343" s="753"/>
      <c r="R343" s="753"/>
      <c r="S343" s="753"/>
      <c r="T343" s="753"/>
      <c r="U343" s="753"/>
      <c r="V343" s="753"/>
      <c r="W343" s="753"/>
      <c r="X343" s="753"/>
      <c r="Y343" s="753"/>
      <c r="Z343" s="753"/>
      <c r="AA343" s="753"/>
      <c r="AB343" s="753"/>
      <c r="AC343" s="753"/>
      <c r="AD343" s="753"/>
      <c r="AE343" s="753"/>
      <c r="AF343" s="753"/>
      <c r="AG343" s="753"/>
      <c r="AH343" s="753"/>
    </row>
    <row r="344" spans="3:34" ht="15" customHeight="1">
      <c r="C344" s="542"/>
      <c r="D344" s="542"/>
      <c r="E344" s="542"/>
      <c r="F344" s="542"/>
      <c r="G344" s="542"/>
      <c r="H344" s="541"/>
      <c r="I344" s="541"/>
      <c r="J344" s="542"/>
      <c r="K344" s="545"/>
    </row>
    <row r="345" spans="3:34">
      <c r="C345" s="546" t="s">
        <v>1063</v>
      </c>
    </row>
    <row r="346" spans="3:34">
      <c r="C346" s="542"/>
      <c r="D346" s="542"/>
      <c r="E346" s="542"/>
      <c r="F346" s="542"/>
      <c r="G346" s="854" t="s">
        <v>753</v>
      </c>
      <c r="H346" s="853"/>
      <c r="I346" s="540"/>
      <c r="J346" s="540"/>
      <c r="K346" s="862"/>
      <c r="L346" s="853">
        <v>225</v>
      </c>
      <c r="M346" s="540" t="str">
        <f t="shared" ref="M346:M350" si="153">IF(ISBLANK(L346)," ",IF(ISTEXT(L346)," ",IF(L346&gt;=225,"МСМК",IF(L346&gt;=195,"МС",IF(L346&gt;=152,"КМС",IF(L346&gt;=125,"I",IF(L346&gt;=98,"II",IF(L346&gt;=78,"III","б/р"))))))))</f>
        <v>МСМК</v>
      </c>
      <c r="N346" s="540" t="str">
        <f t="shared" ref="N346:N350" si="154">IF(ISBLANK(L346)," ",IF(ISTEXT(L346)," ",IF(L346&gt;=225,"МСМК",IF(L346&gt;=195,"МС",IF(L346&gt;=152,"КМС",IF(L346&gt;=125,"I",IF(L346&gt;=98,"II",IF(L346&gt;=78,"III","б/р"))))))))</f>
        <v>МСМК</v>
      </c>
      <c r="O346" s="540"/>
      <c r="P346" s="753"/>
      <c r="Q346" s="753"/>
      <c r="R346" s="753"/>
      <c r="S346" s="753"/>
      <c r="T346" s="753"/>
      <c r="U346" s="753"/>
      <c r="V346" s="753"/>
      <c r="W346" s="753"/>
      <c r="X346" s="753"/>
      <c r="Y346" s="753"/>
      <c r="Z346" s="753"/>
      <c r="AA346" s="753"/>
      <c r="AB346" s="753"/>
      <c r="AC346" s="753"/>
      <c r="AD346" s="753"/>
      <c r="AE346" s="753"/>
      <c r="AF346" s="753"/>
      <c r="AG346" s="753"/>
      <c r="AH346" s="753"/>
    </row>
    <row r="347" spans="3:34">
      <c r="C347" s="542"/>
      <c r="D347" s="542"/>
      <c r="E347" s="542"/>
      <c r="F347" s="542"/>
      <c r="G347" s="854" t="s">
        <v>753</v>
      </c>
      <c r="H347" s="853"/>
      <c r="I347" s="540"/>
      <c r="J347" s="540"/>
      <c r="K347" s="862"/>
      <c r="L347" s="853">
        <v>195</v>
      </c>
      <c r="M347" s="540" t="str">
        <f t="shared" si="153"/>
        <v>МС</v>
      </c>
      <c r="N347" s="540" t="str">
        <f t="shared" si="154"/>
        <v>МС</v>
      </c>
      <c r="O347" s="540"/>
      <c r="P347" s="753"/>
      <c r="Q347" s="753"/>
      <c r="R347" s="753"/>
      <c r="S347" s="753"/>
      <c r="T347" s="753"/>
      <c r="U347" s="753"/>
      <c r="V347" s="753"/>
      <c r="W347" s="753"/>
      <c r="X347" s="753"/>
      <c r="Y347" s="753"/>
      <c r="Z347" s="753"/>
      <c r="AA347" s="753"/>
      <c r="AB347" s="753"/>
      <c r="AC347" s="753"/>
      <c r="AD347" s="753"/>
      <c r="AE347" s="753"/>
      <c r="AF347" s="753"/>
      <c r="AG347" s="753"/>
      <c r="AH347" s="753"/>
    </row>
    <row r="348" spans="3:34">
      <c r="C348" s="542"/>
      <c r="D348" s="542"/>
      <c r="E348" s="542"/>
      <c r="F348" s="542"/>
      <c r="G348" s="854" t="s">
        <v>753</v>
      </c>
      <c r="H348" s="853"/>
      <c r="I348" s="540"/>
      <c r="J348" s="540"/>
      <c r="K348" s="862"/>
      <c r="L348" s="853">
        <v>152</v>
      </c>
      <c r="M348" s="540" t="str">
        <f t="shared" si="153"/>
        <v>КМС</v>
      </c>
      <c r="N348" s="540" t="str">
        <f t="shared" si="154"/>
        <v>КМС</v>
      </c>
      <c r="O348" s="540"/>
      <c r="P348" s="753"/>
      <c r="Q348" s="753"/>
      <c r="R348" s="753"/>
      <c r="S348" s="753"/>
      <c r="T348" s="753"/>
      <c r="U348" s="753"/>
      <c r="V348" s="753"/>
      <c r="W348" s="753"/>
      <c r="X348" s="753"/>
      <c r="Y348" s="753"/>
      <c r="Z348" s="753"/>
      <c r="AA348" s="753"/>
      <c r="AB348" s="753"/>
      <c r="AC348" s="753"/>
      <c r="AD348" s="753"/>
      <c r="AE348" s="753"/>
      <c r="AF348" s="753"/>
      <c r="AG348" s="753"/>
      <c r="AH348" s="753"/>
    </row>
    <row r="349" spans="3:34">
      <c r="C349" s="542"/>
      <c r="D349" s="542"/>
      <c r="E349" s="542"/>
      <c r="F349" s="542"/>
      <c r="G349" s="854" t="s">
        <v>753</v>
      </c>
      <c r="H349" s="853"/>
      <c r="I349" s="540"/>
      <c r="J349" s="540"/>
      <c r="K349" s="862"/>
      <c r="L349" s="853">
        <v>125</v>
      </c>
      <c r="M349" s="540" t="str">
        <f t="shared" si="153"/>
        <v>I</v>
      </c>
      <c r="N349" s="540" t="str">
        <f t="shared" si="154"/>
        <v>I</v>
      </c>
      <c r="O349" s="540"/>
      <c r="P349" s="753"/>
      <c r="Q349" s="753"/>
      <c r="R349" s="753"/>
      <c r="S349" s="753"/>
      <c r="T349" s="753"/>
      <c r="U349" s="753"/>
      <c r="V349" s="753"/>
      <c r="W349" s="753"/>
      <c r="X349" s="753"/>
      <c r="Y349" s="753"/>
      <c r="Z349" s="753"/>
      <c r="AA349" s="753"/>
      <c r="AB349" s="753"/>
      <c r="AC349" s="753"/>
      <c r="AD349" s="753"/>
      <c r="AE349" s="753"/>
      <c r="AF349" s="753"/>
      <c r="AG349" s="753"/>
      <c r="AH349" s="753"/>
    </row>
    <row r="350" spans="3:34">
      <c r="C350" s="542"/>
      <c r="D350" s="542"/>
      <c r="E350" s="542"/>
      <c r="F350" s="542"/>
      <c r="G350" s="854" t="s">
        <v>753</v>
      </c>
      <c r="H350" s="853"/>
      <c r="I350" s="540"/>
      <c r="J350" s="540"/>
      <c r="K350" s="862"/>
      <c r="L350" s="853">
        <v>98</v>
      </c>
      <c r="M350" s="540" t="str">
        <f t="shared" si="153"/>
        <v>II</v>
      </c>
      <c r="N350" s="540" t="str">
        <f t="shared" si="154"/>
        <v>II</v>
      </c>
      <c r="O350" s="540"/>
      <c r="P350" s="753"/>
      <c r="Q350" s="753"/>
      <c r="R350" s="753"/>
      <c r="S350" s="753"/>
      <c r="T350" s="753"/>
      <c r="U350" s="753"/>
      <c r="V350" s="753"/>
      <c r="W350" s="753"/>
      <c r="X350" s="753"/>
      <c r="Y350" s="753"/>
      <c r="Z350" s="753"/>
      <c r="AA350" s="753"/>
      <c r="AB350" s="753"/>
      <c r="AC350" s="753"/>
      <c r="AD350" s="753"/>
      <c r="AE350" s="753"/>
      <c r="AF350" s="753"/>
      <c r="AG350" s="753"/>
      <c r="AH350" s="753"/>
    </row>
    <row r="351" spans="3:34">
      <c r="C351" s="542"/>
      <c r="D351" s="542"/>
      <c r="E351" s="542"/>
      <c r="F351" s="542"/>
      <c r="G351" s="854" t="s">
        <v>753</v>
      </c>
      <c r="H351" s="853"/>
      <c r="I351" s="540"/>
      <c r="J351" s="540"/>
      <c r="K351" s="862"/>
      <c r="L351" s="853">
        <v>78</v>
      </c>
      <c r="M351" s="540" t="str">
        <f>IF(ISBLANK(L351)," ",IF(ISTEXT(L351)," ",IF(L351&gt;=225,"МСМК",IF(L351&gt;=195,"МС",IF(L351&gt;=152,"КМС",IF(L351&gt;=125,"I",IF(L351&gt;=98,"II",IF(L351&gt;=78,"III","б/р"))))))))</f>
        <v>III</v>
      </c>
      <c r="N351" s="540" t="str">
        <f>IF(ISBLANK(L351)," ",IF(ISTEXT(L351)," ",IF(L351&gt;=225,"МСМК",IF(L351&gt;=195,"МС",IF(L351&gt;=152,"КМС",IF(L351&gt;=125,"I",IF(L351&gt;=98,"II",IF(L351&gt;=78,"III","б/р"))))))))</f>
        <v>III</v>
      </c>
      <c r="O351" s="540"/>
      <c r="P351" s="753"/>
      <c r="Q351" s="753"/>
      <c r="R351" s="753"/>
      <c r="S351" s="753"/>
      <c r="T351" s="753"/>
      <c r="U351" s="753"/>
      <c r="V351" s="753"/>
      <c r="W351" s="753"/>
      <c r="X351" s="753"/>
      <c r="Y351" s="753"/>
      <c r="Z351" s="753"/>
      <c r="AA351" s="753"/>
      <c r="AB351" s="753"/>
      <c r="AC351" s="753"/>
      <c r="AD351" s="753"/>
      <c r="AE351" s="753"/>
      <c r="AF351" s="753"/>
      <c r="AG351" s="753"/>
      <c r="AH351" s="753"/>
    </row>
    <row r="352" spans="3:34">
      <c r="C352" s="546"/>
    </row>
    <row r="353" spans="3:34">
      <c r="C353" s="546" t="s">
        <v>388</v>
      </c>
      <c r="K353" s="863"/>
    </row>
    <row r="354" spans="3:34">
      <c r="C354" s="542"/>
      <c r="D354" s="542"/>
      <c r="E354" s="542"/>
      <c r="F354" s="542"/>
      <c r="G354" s="542"/>
      <c r="H354" s="532">
        <v>37.200000000000003</v>
      </c>
      <c r="I354" s="540" t="str">
        <f>IF(ISBLANK(H354)," ",IF(ISTEXT(H354)," ",IF(H354&lt;=37.2,"МСМК",IF(H354&lt;=39.5,"МС",IF(H354&lt;=41.8,"КМС",IF(H354&lt;=45.2,"I",IF(H354&lt;=48.8,"II",IF(H354&lt;=53.2,"III","б/р"))))))))</f>
        <v>МСМК</v>
      </c>
      <c r="J354" s="540" t="str">
        <f>IF(ISBLANK(H354)," ",IF(ISTEXT(H354)," ",IF(H354&lt;=37.2,"МСМК",IF(H354&lt;=39.5,"МС",IF(H354&lt;=41.8,"КМС",IF(H354&lt;=45.2,"I",IF(H354&lt;=48.8,"II",IF(H354&lt;=53.2,"III","б/р"))))))))</f>
        <v>МСМК</v>
      </c>
      <c r="K354" s="862"/>
      <c r="L354" s="749">
        <f>H354</f>
        <v>37.200000000000003</v>
      </c>
      <c r="M354" s="747" t="str">
        <f t="shared" ref="M354:M358" si="155">IF(ISBLANK(L354)," ",IF(ISTEXT(L354)," ",IF(L354&lt;=37.2,"МСМК",IF(L354&lt;=39.5,"МС",IF(L354&lt;=41.6,"КМС",IF(L354&lt;=45,"I",IF(L354&lt;=48.6,"II",IF(L354&lt;=53,"III","б/р"))))))))</f>
        <v>МСМК</v>
      </c>
      <c r="N354" s="747" t="str">
        <f t="shared" ref="N354:N358" si="156">IF(ISBLANK(L354)," ",IF(ISTEXT(L354)," ",IF(L354&lt;=37.2,"МСМК",IF(L354&lt;=39.5,"МС",IF(L354&lt;=41.6,"КМС",IF(L354&lt;=45,"I",IF(L354&lt;=48.6,"II",IF(L354&lt;=53,"III","б/р"))))))))</f>
        <v>МСМК</v>
      </c>
      <c r="O354" s="540"/>
      <c r="P354" s="753"/>
      <c r="Q354" s="753"/>
      <c r="R354" s="753"/>
      <c r="S354" s="753"/>
      <c r="T354" s="753"/>
      <c r="U354" s="753"/>
      <c r="V354" s="753"/>
      <c r="W354" s="753"/>
      <c r="X354" s="753"/>
      <c r="Y354" s="753"/>
      <c r="Z354" s="753"/>
      <c r="AA354" s="753"/>
      <c r="AB354" s="753"/>
      <c r="AC354" s="753"/>
      <c r="AD354" s="753"/>
      <c r="AE354" s="753"/>
      <c r="AF354" s="753"/>
      <c r="AG354" s="753"/>
      <c r="AH354" s="753"/>
    </row>
    <row r="355" spans="3:34">
      <c r="C355" s="542"/>
      <c r="D355" s="542"/>
      <c r="E355" s="542"/>
      <c r="F355" s="542"/>
      <c r="G355" s="542"/>
      <c r="H355" s="532">
        <v>39.5</v>
      </c>
      <c r="I355" s="540" t="str">
        <f t="shared" ref="I355:I359" si="157">IF(ISBLANK(H355)," ",IF(ISTEXT(H355)," ",IF(H355&lt;=37.2,"МСМК",IF(H355&lt;=39.5,"МС",IF(H355&lt;=41.8,"КМС",IF(H355&lt;=45.2,"I",IF(H355&lt;=48.8,"II",IF(H355&lt;=53.2,"III","б/р"))))))))</f>
        <v>МС</v>
      </c>
      <c r="J355" s="540" t="str">
        <f t="shared" ref="J355:J359" si="158">IF(ISBLANK(H355)," ",IF(ISTEXT(H355)," ",IF(H355&lt;=37.2,"МСМК",IF(H355&lt;=39.5,"МС",IF(H355&lt;=41.8,"КМС",IF(H355&lt;=45.2,"I",IF(H355&lt;=48.8,"II",IF(H355&lt;=53.2,"III","б/р"))))))))</f>
        <v>МС</v>
      </c>
      <c r="K355" s="862"/>
      <c r="L355" s="749">
        <f>H355</f>
        <v>39.5</v>
      </c>
      <c r="M355" s="747" t="str">
        <f t="shared" si="155"/>
        <v>МС</v>
      </c>
      <c r="N355" s="747" t="str">
        <f t="shared" si="156"/>
        <v>МС</v>
      </c>
      <c r="O355" s="540"/>
      <c r="P355" s="753"/>
      <c r="Q355" s="753"/>
      <c r="R355" s="753"/>
      <c r="S355" s="753"/>
      <c r="T355" s="753"/>
      <c r="U355" s="753"/>
      <c r="V355" s="753"/>
      <c r="W355" s="753"/>
      <c r="X355" s="753"/>
      <c r="Y355" s="753"/>
      <c r="Z355" s="753"/>
      <c r="AA355" s="753"/>
      <c r="AB355" s="753"/>
      <c r="AC355" s="753"/>
      <c r="AD355" s="753"/>
      <c r="AE355" s="753"/>
      <c r="AF355" s="753"/>
      <c r="AG355" s="753"/>
      <c r="AH355" s="753"/>
    </row>
    <row r="356" spans="3:34">
      <c r="C356" s="542"/>
      <c r="D356" s="542"/>
      <c r="E356" s="542"/>
      <c r="F356" s="542"/>
      <c r="G356" s="542"/>
      <c r="H356" s="532">
        <v>41.8</v>
      </c>
      <c r="I356" s="540" t="str">
        <f t="shared" si="157"/>
        <v>КМС</v>
      </c>
      <c r="J356" s="540" t="str">
        <f t="shared" si="158"/>
        <v>КМС</v>
      </c>
      <c r="K356" s="862"/>
      <c r="L356" s="532">
        <f>H356-0.2</f>
        <v>41.599999999999994</v>
      </c>
      <c r="M356" s="540" t="str">
        <f t="shared" si="155"/>
        <v>КМС</v>
      </c>
      <c r="N356" s="540" t="str">
        <f t="shared" si="156"/>
        <v>КМС</v>
      </c>
      <c r="O356" s="540"/>
      <c r="P356" s="753"/>
      <c r="Q356" s="753"/>
      <c r="R356" s="753"/>
      <c r="S356" s="753"/>
      <c r="T356" s="753"/>
      <c r="U356" s="753"/>
      <c r="V356" s="753"/>
      <c r="W356" s="753"/>
      <c r="X356" s="753"/>
      <c r="Y356" s="753"/>
      <c r="Z356" s="753"/>
      <c r="AA356" s="753"/>
      <c r="AB356" s="753"/>
      <c r="AC356" s="753"/>
      <c r="AD356" s="753"/>
      <c r="AE356" s="753"/>
      <c r="AF356" s="753"/>
      <c r="AG356" s="753"/>
      <c r="AH356" s="753"/>
    </row>
    <row r="357" spans="3:34">
      <c r="C357" s="542"/>
      <c r="D357" s="542"/>
      <c r="E357" s="542"/>
      <c r="F357" s="542"/>
      <c r="G357" s="542"/>
      <c r="H357" s="532">
        <v>45.2</v>
      </c>
      <c r="I357" s="540" t="str">
        <f t="shared" si="157"/>
        <v>I</v>
      </c>
      <c r="J357" s="540" t="str">
        <f t="shared" si="158"/>
        <v>I</v>
      </c>
      <c r="K357" s="862"/>
      <c r="L357" s="532">
        <f t="shared" ref="L357:L359" si="159">H357-0.2</f>
        <v>45</v>
      </c>
      <c r="M357" s="540" t="str">
        <f t="shared" si="155"/>
        <v>I</v>
      </c>
      <c r="N357" s="540" t="str">
        <f t="shared" si="156"/>
        <v>I</v>
      </c>
      <c r="O357" s="540"/>
      <c r="P357" s="753"/>
      <c r="Q357" s="753"/>
      <c r="R357" s="753"/>
      <c r="S357" s="753"/>
      <c r="T357" s="753"/>
      <c r="U357" s="753"/>
      <c r="V357" s="753"/>
      <c r="W357" s="753"/>
      <c r="X357" s="753"/>
      <c r="Y357" s="753"/>
      <c r="Z357" s="753"/>
      <c r="AA357" s="753"/>
      <c r="AB357" s="753"/>
      <c r="AC357" s="753"/>
      <c r="AD357" s="753"/>
      <c r="AE357" s="753"/>
      <c r="AF357" s="753"/>
      <c r="AG357" s="753"/>
      <c r="AH357" s="753"/>
    </row>
    <row r="358" spans="3:34">
      <c r="C358" s="542"/>
      <c r="D358" s="542"/>
      <c r="E358" s="542"/>
      <c r="F358" s="542"/>
      <c r="G358" s="542"/>
      <c r="H358" s="532">
        <v>48.8</v>
      </c>
      <c r="I358" s="540" t="str">
        <f t="shared" si="157"/>
        <v>II</v>
      </c>
      <c r="J358" s="540" t="str">
        <f t="shared" si="158"/>
        <v>II</v>
      </c>
      <c r="K358" s="862"/>
      <c r="L358" s="532">
        <f t="shared" si="159"/>
        <v>48.599999999999994</v>
      </c>
      <c r="M358" s="540" t="str">
        <f t="shared" si="155"/>
        <v>II</v>
      </c>
      <c r="N358" s="540" t="str">
        <f t="shared" si="156"/>
        <v>II</v>
      </c>
      <c r="O358" s="540"/>
      <c r="P358" s="753"/>
      <c r="Q358" s="753"/>
      <c r="R358" s="753"/>
      <c r="S358" s="753"/>
      <c r="T358" s="753"/>
      <c r="U358" s="753"/>
      <c r="V358" s="753"/>
      <c r="W358" s="753"/>
      <c r="X358" s="753"/>
      <c r="Y358" s="753"/>
      <c r="Z358" s="753"/>
      <c r="AA358" s="753"/>
      <c r="AB358" s="753"/>
      <c r="AC358" s="753"/>
      <c r="AD358" s="753"/>
      <c r="AE358" s="753"/>
      <c r="AF358" s="753"/>
      <c r="AG358" s="753"/>
      <c r="AH358" s="753"/>
    </row>
    <row r="359" spans="3:34">
      <c r="C359" s="542"/>
      <c r="D359" s="542"/>
      <c r="E359" s="542"/>
      <c r="F359" s="542"/>
      <c r="G359" s="542"/>
      <c r="H359" s="532">
        <v>53.2</v>
      </c>
      <c r="I359" s="540" t="str">
        <f t="shared" si="157"/>
        <v>III</v>
      </c>
      <c r="J359" s="540" t="str">
        <f t="shared" si="158"/>
        <v>III</v>
      </c>
      <c r="K359" s="862"/>
      <c r="L359" s="532">
        <f t="shared" si="159"/>
        <v>53</v>
      </c>
      <c r="M359" s="540" t="str">
        <f>IF(ISBLANK(L359)," ",IF(ISTEXT(L359)," ",IF(L359&lt;=37.2,"МСМК",IF(L359&lt;=39.5,"МС",IF(L359&lt;=41.6,"КМС",IF(L359&lt;=45,"I",IF(L359&lt;=48.6,"II",IF(L359&lt;=53,"III","б/р"))))))))</f>
        <v>III</v>
      </c>
      <c r="N359" s="540" t="str">
        <f>IF(ISBLANK(L359)," ",IF(ISTEXT(L359)," ",IF(L359&lt;=37.2,"МСМК",IF(L359&lt;=39.5,"МС",IF(L359&lt;=41.6,"КМС",IF(L359&lt;=45,"I",IF(L359&lt;=48.6,"II",IF(L359&lt;=53,"III","б/р"))))))))</f>
        <v>III</v>
      </c>
      <c r="O359" s="540"/>
      <c r="P359" s="753"/>
      <c r="Q359" s="753"/>
      <c r="R359" s="753"/>
      <c r="S359" s="753"/>
      <c r="T359" s="753"/>
      <c r="U359" s="753"/>
      <c r="V359" s="753"/>
      <c r="W359" s="753"/>
      <c r="X359" s="753"/>
      <c r="Y359" s="753"/>
      <c r="Z359" s="753"/>
      <c r="AA359" s="753"/>
      <c r="AB359" s="753"/>
      <c r="AC359" s="753"/>
      <c r="AD359" s="753"/>
      <c r="AE359" s="753"/>
      <c r="AF359" s="753"/>
      <c r="AG359" s="753"/>
      <c r="AH359" s="753"/>
    </row>
    <row r="360" spans="3:34">
      <c r="C360" s="546"/>
      <c r="K360" s="863"/>
    </row>
    <row r="361" spans="3:34">
      <c r="C361" s="546" t="s">
        <v>420</v>
      </c>
      <c r="K361" s="863"/>
    </row>
    <row r="362" spans="3:34">
      <c r="C362" s="542"/>
      <c r="D362" s="542"/>
      <c r="E362" s="542"/>
      <c r="F362" s="542"/>
      <c r="G362" s="542"/>
      <c r="H362" s="532">
        <v>32.799999999999997</v>
      </c>
      <c r="I362" s="540" t="str">
        <f t="shared" ref="I362:I366" si="160">IF(ISBLANK(H362)," ",IF(ISTEXT(H362)," ",IF(H362&lt;=32.8,"МСМК",IF(H362&lt;=35,"МС",IF(H362&lt;=39.8,"КМС",IF(H362&lt;=42.4,"I",IF(H362&lt;=45.8,"II",IF(H362&lt;=49.7,"III","б/р"))))))))</f>
        <v>МСМК</v>
      </c>
      <c r="J362" s="540" t="str">
        <f t="shared" ref="J362:J366" si="161">IF(ISBLANK(H362)," ",IF(ISTEXT(H362)," ",IF(H362&lt;=32.8,"МСМК",IF(H362&lt;=35,"МС",IF(H362&lt;=39.8,"КМС",IF(H362&lt;=42.4,"I",IF(H362&lt;=45.8,"II",IF(H362&lt;=49.7,"III","б/р"))))))))</f>
        <v>МСМК</v>
      </c>
      <c r="K362" s="862"/>
      <c r="L362" s="749">
        <f>H362</f>
        <v>32.799999999999997</v>
      </c>
      <c r="M362" s="747" t="str">
        <f t="shared" ref="M362:M366" si="162">IF(ISBLANK(L362)," ",IF(ISTEXT(L362)," ",IF(L362&lt;=32.8,"МСМК",IF(L362&lt;=35,"МС",IF(L362&lt;=39.6,"КМС",IF(L362&lt;=42.2,"I",IF(L362&lt;=45.6,"II",IF(L362&lt;=49.5,"III","б/р"))))))))</f>
        <v>МСМК</v>
      </c>
      <c r="N362" s="747" t="str">
        <f t="shared" ref="N362:N366" si="163">IF(ISBLANK(L362)," ",IF(ISTEXT(L362)," ",IF(L362&lt;=32.8,"МСМК",IF(L362&lt;=35,"МС",IF(L362&lt;=39.6,"КМС",IF(L362&lt;=42.2,"I",IF(L362&lt;=45.6,"II",IF(L362&lt;=49.5,"III","б/р"))))))))</f>
        <v>МСМК</v>
      </c>
      <c r="O362" s="540"/>
      <c r="P362" s="753"/>
      <c r="Q362" s="753"/>
      <c r="R362" s="753"/>
      <c r="S362" s="753"/>
      <c r="T362" s="753"/>
      <c r="U362" s="753"/>
      <c r="V362" s="753"/>
      <c r="W362" s="753"/>
      <c r="X362" s="753"/>
      <c r="Y362" s="753"/>
      <c r="Z362" s="753"/>
      <c r="AA362" s="753"/>
      <c r="AB362" s="753"/>
      <c r="AC362" s="753"/>
      <c r="AD362" s="753"/>
      <c r="AE362" s="753"/>
      <c r="AF362" s="753"/>
      <c r="AG362" s="753"/>
      <c r="AH362" s="753"/>
    </row>
    <row r="363" spans="3:34">
      <c r="C363" s="542"/>
      <c r="D363" s="542"/>
      <c r="E363" s="542"/>
      <c r="F363" s="542"/>
      <c r="G363" s="542"/>
      <c r="H363" s="532">
        <v>35</v>
      </c>
      <c r="I363" s="540" t="str">
        <f t="shared" si="160"/>
        <v>МС</v>
      </c>
      <c r="J363" s="540" t="str">
        <f t="shared" si="161"/>
        <v>МС</v>
      </c>
      <c r="K363" s="862"/>
      <c r="L363" s="749">
        <f>H363</f>
        <v>35</v>
      </c>
      <c r="M363" s="747" t="str">
        <f t="shared" si="162"/>
        <v>МС</v>
      </c>
      <c r="N363" s="747" t="str">
        <f t="shared" si="163"/>
        <v>МС</v>
      </c>
      <c r="O363" s="540"/>
      <c r="P363" s="753"/>
      <c r="Q363" s="753"/>
      <c r="R363" s="753"/>
      <c r="S363" s="753"/>
      <c r="T363" s="753"/>
      <c r="U363" s="753"/>
      <c r="V363" s="753"/>
      <c r="W363" s="753"/>
      <c r="X363" s="753"/>
      <c r="Y363" s="753"/>
      <c r="Z363" s="753"/>
      <c r="AA363" s="753"/>
      <c r="AB363" s="753"/>
      <c r="AC363" s="753"/>
      <c r="AD363" s="753"/>
      <c r="AE363" s="753"/>
      <c r="AF363" s="753"/>
      <c r="AG363" s="753"/>
      <c r="AH363" s="753"/>
    </row>
    <row r="364" spans="3:34">
      <c r="C364" s="542"/>
      <c r="D364" s="542"/>
      <c r="E364" s="542"/>
      <c r="F364" s="542"/>
      <c r="G364" s="542"/>
      <c r="H364" s="532">
        <v>39.799999999999997</v>
      </c>
      <c r="I364" s="540" t="str">
        <f t="shared" si="160"/>
        <v>КМС</v>
      </c>
      <c r="J364" s="540" t="str">
        <f t="shared" si="161"/>
        <v>КМС</v>
      </c>
      <c r="K364" s="862"/>
      <c r="L364" s="532">
        <f>H364-0.2</f>
        <v>39.599999999999994</v>
      </c>
      <c r="M364" s="540" t="str">
        <f t="shared" si="162"/>
        <v>КМС</v>
      </c>
      <c r="N364" s="540" t="str">
        <f t="shared" si="163"/>
        <v>КМС</v>
      </c>
      <c r="O364" s="540"/>
      <c r="P364" s="753"/>
      <c r="Q364" s="753"/>
      <c r="R364" s="753"/>
      <c r="S364" s="753"/>
      <c r="T364" s="753"/>
      <c r="U364" s="753"/>
      <c r="V364" s="753"/>
      <c r="W364" s="753"/>
      <c r="X364" s="753"/>
      <c r="Y364" s="753"/>
      <c r="Z364" s="753"/>
      <c r="AA364" s="753"/>
      <c r="AB364" s="753"/>
      <c r="AC364" s="753"/>
      <c r="AD364" s="753"/>
      <c r="AE364" s="753"/>
      <c r="AF364" s="753"/>
      <c r="AG364" s="753"/>
      <c r="AH364" s="753"/>
    </row>
    <row r="365" spans="3:34">
      <c r="C365" s="542"/>
      <c r="D365" s="542"/>
      <c r="E365" s="542"/>
      <c r="F365" s="542"/>
      <c r="G365" s="542"/>
      <c r="H365" s="532">
        <v>42.4</v>
      </c>
      <c r="I365" s="540" t="str">
        <f t="shared" si="160"/>
        <v>I</v>
      </c>
      <c r="J365" s="540" t="str">
        <f t="shared" si="161"/>
        <v>I</v>
      </c>
      <c r="K365" s="862"/>
      <c r="L365" s="532">
        <f t="shared" ref="L365:L367" si="164">H365-0.2</f>
        <v>42.199999999999996</v>
      </c>
      <c r="M365" s="540" t="str">
        <f t="shared" si="162"/>
        <v>I</v>
      </c>
      <c r="N365" s="540" t="str">
        <f t="shared" si="163"/>
        <v>I</v>
      </c>
      <c r="O365" s="540"/>
      <c r="P365" s="753"/>
      <c r="Q365" s="753"/>
      <c r="R365" s="753"/>
      <c r="S365" s="753"/>
      <c r="T365" s="753"/>
      <c r="U365" s="753"/>
      <c r="V365" s="753"/>
      <c r="W365" s="753"/>
      <c r="X365" s="753"/>
      <c r="Y365" s="753"/>
      <c r="Z365" s="753"/>
      <c r="AA365" s="753"/>
      <c r="AB365" s="753"/>
      <c r="AC365" s="753"/>
      <c r="AD365" s="753"/>
      <c r="AE365" s="753"/>
      <c r="AF365" s="753"/>
      <c r="AG365" s="753"/>
      <c r="AH365" s="753"/>
    </row>
    <row r="366" spans="3:34">
      <c r="C366" s="542"/>
      <c r="D366" s="542"/>
      <c r="E366" s="542"/>
      <c r="F366" s="542"/>
      <c r="G366" s="542"/>
      <c r="H366" s="532">
        <v>45.8</v>
      </c>
      <c r="I366" s="540" t="str">
        <f t="shared" si="160"/>
        <v>II</v>
      </c>
      <c r="J366" s="540" t="str">
        <f t="shared" si="161"/>
        <v>II</v>
      </c>
      <c r="K366" s="862"/>
      <c r="L366" s="532">
        <f t="shared" si="164"/>
        <v>45.599999999999994</v>
      </c>
      <c r="M366" s="540" t="str">
        <f t="shared" si="162"/>
        <v>II</v>
      </c>
      <c r="N366" s="540" t="str">
        <f t="shared" si="163"/>
        <v>II</v>
      </c>
      <c r="O366" s="540"/>
      <c r="P366" s="753"/>
      <c r="Q366" s="753"/>
      <c r="R366" s="753"/>
      <c r="S366" s="753"/>
      <c r="T366" s="753"/>
      <c r="U366" s="753"/>
      <c r="V366" s="753"/>
      <c r="W366" s="753"/>
      <c r="X366" s="753"/>
      <c r="Y366" s="753"/>
      <c r="Z366" s="753"/>
      <c r="AA366" s="753"/>
      <c r="AB366" s="753"/>
      <c r="AC366" s="753"/>
      <c r="AD366" s="753"/>
      <c r="AE366" s="753"/>
      <c r="AF366" s="753"/>
      <c r="AG366" s="753"/>
      <c r="AH366" s="753"/>
    </row>
    <row r="367" spans="3:34">
      <c r="C367" s="542"/>
      <c r="D367" s="542"/>
      <c r="E367" s="542"/>
      <c r="F367" s="542"/>
      <c r="G367" s="542"/>
      <c r="H367" s="532">
        <v>49.7</v>
      </c>
      <c r="I367" s="540" t="str">
        <f>IF(ISBLANK(H367)," ",IF(ISTEXT(H367)," ",IF(H367&lt;=32.8,"МСМК",IF(H367&lt;=35,"МС",IF(H367&lt;=39.8,"КМС",IF(H367&lt;=42.4,"I",IF(H367&lt;=45.8,"II",IF(H367&lt;=49.7,"III","б/р"))))))))</f>
        <v>III</v>
      </c>
      <c r="J367" s="540" t="str">
        <f>IF(ISBLANK(H367)," ",IF(ISTEXT(H367)," ",IF(H367&lt;=32.8,"МСМК",IF(H367&lt;=35,"МС",IF(H367&lt;=39.8,"КМС",IF(H367&lt;=42.4,"I",IF(H367&lt;=45.8,"II",IF(H367&lt;=49.7,"III","б/р"))))))))</f>
        <v>III</v>
      </c>
      <c r="K367" s="862"/>
      <c r="L367" s="532">
        <f t="shared" si="164"/>
        <v>49.5</v>
      </c>
      <c r="M367" s="540" t="str">
        <f>IF(ISBLANK(L367)," ",IF(ISTEXT(L367)," ",IF(L367&lt;=32.8,"МСМК",IF(L367&lt;=35,"МС",IF(L367&lt;=39.6,"КМС",IF(L367&lt;=42.2,"I",IF(L367&lt;=45.6,"II",IF(L367&lt;=49.5,"III","б/р"))))))))</f>
        <v>III</v>
      </c>
      <c r="N367" s="540" t="str">
        <f>IF(ISBLANK(L367)," ",IF(ISTEXT(L367)," ",IF(L367&lt;=32.8,"МСМК",IF(L367&lt;=35,"МС",IF(L367&lt;=39.6,"КМС",IF(L367&lt;=42.2,"I",IF(L367&lt;=45.6,"II",IF(L367&lt;=49.5,"III","б/р"))))))))</f>
        <v>III</v>
      </c>
      <c r="O367" s="540"/>
      <c r="P367" s="753"/>
      <c r="Q367" s="753"/>
      <c r="R367" s="753"/>
      <c r="S367" s="753"/>
      <c r="T367" s="753"/>
      <c r="U367" s="753"/>
      <c r="V367" s="753"/>
      <c r="W367" s="753"/>
      <c r="X367" s="753"/>
      <c r="Y367" s="753"/>
      <c r="Z367" s="753"/>
      <c r="AA367" s="753"/>
      <c r="AB367" s="753"/>
      <c r="AC367" s="753"/>
      <c r="AD367" s="753"/>
      <c r="AE367" s="753"/>
      <c r="AF367" s="753"/>
      <c r="AG367" s="753"/>
      <c r="AH367" s="753"/>
    </row>
    <row r="368" spans="3:34">
      <c r="C368" s="546"/>
    </row>
    <row r="369" spans="3:34">
      <c r="C369" s="546" t="s">
        <v>1065</v>
      </c>
    </row>
    <row r="370" spans="3:34">
      <c r="C370" s="542"/>
      <c r="D370" s="542"/>
      <c r="E370" s="542"/>
      <c r="F370" s="542"/>
      <c r="G370" s="542"/>
      <c r="H370" s="532">
        <v>1211</v>
      </c>
      <c r="I370" s="540" t="str">
        <f t="shared" ref="I370:I374" si="165">IF(ISBLANK(H370)," ",IF(ISTEXT(H370)," ",IF(H370&lt;=1211,"МСМК",IF(H370&lt;=1356,"МС",IF(H370&lt;=1600,"КМС",IF(H370&lt;=1740,"I",IF(H370&lt;=1845,"II",IF(H370&lt;=1945,"III","б/р"))))))))</f>
        <v>МСМК</v>
      </c>
      <c r="J370" s="540" t="str">
        <f t="shared" ref="J370:J374" si="166">IF(ISBLANK(H370)," ",IF(ISTEXT(H370)," ",IF(H370&lt;=1211,"МСМК",IF(H370&lt;=1356,"МС",IF(H370&lt;=1600,"КМС",IF(H370&lt;=1740,"I",IF(H370&lt;=1845,"II",IF(H370&lt;=1945,"III","б/р"))))))))</f>
        <v>МСМК</v>
      </c>
      <c r="K370" s="862"/>
      <c r="L370" s="749">
        <f>H370</f>
        <v>1211</v>
      </c>
      <c r="M370" s="747" t="str">
        <f t="shared" ref="M370:M374" si="167">IF(ISBLANK(L370)," ",IF(ISTEXT(L370)," ",IF(L370&lt;=1211,"МСМК",IF(L370&lt;=1356,"МС",IF(L370&lt;=1559.8,"КМС",IF(L370&lt;=1739.8,"I",IF(L370&lt;=1844.8,"II",IF(L370&lt;=1944.8,"III","б/р"))))))))</f>
        <v>МСМК</v>
      </c>
      <c r="N370" s="747" t="str">
        <f t="shared" ref="N370:N374" si="168">IF(ISBLANK(L370)," ",IF(ISTEXT(L370)," ",IF(L370&lt;=1211,"МСМК",IF(L370&lt;=1356,"МС",IF(L370&lt;=1559.8,"КМС",IF(L370&lt;=1739.8,"I",IF(L370&lt;=1844.8,"II",IF(L370&lt;=1944.8,"III","б/р"))))))))</f>
        <v>МСМК</v>
      </c>
      <c r="O370" s="540"/>
      <c r="P370" s="753"/>
      <c r="Q370" s="753"/>
      <c r="R370" s="753"/>
      <c r="S370" s="753"/>
      <c r="T370" s="753"/>
      <c r="U370" s="753"/>
      <c r="V370" s="753"/>
      <c r="W370" s="753"/>
      <c r="X370" s="753"/>
      <c r="Y370" s="753"/>
      <c r="Z370" s="753"/>
      <c r="AA370" s="753"/>
      <c r="AB370" s="753"/>
      <c r="AC370" s="753"/>
      <c r="AD370" s="753"/>
      <c r="AE370" s="753"/>
      <c r="AF370" s="753"/>
      <c r="AG370" s="753"/>
      <c r="AH370" s="753"/>
    </row>
    <row r="371" spans="3:34">
      <c r="C371" s="542"/>
      <c r="D371" s="542"/>
      <c r="E371" s="542"/>
      <c r="F371" s="542"/>
      <c r="G371" s="542"/>
      <c r="H371" s="532">
        <v>1356</v>
      </c>
      <c r="I371" s="540" t="str">
        <f t="shared" si="165"/>
        <v>МС</v>
      </c>
      <c r="J371" s="540" t="str">
        <f t="shared" si="166"/>
        <v>МС</v>
      </c>
      <c r="K371" s="862"/>
      <c r="L371" s="749">
        <f>H371</f>
        <v>1356</v>
      </c>
      <c r="M371" s="747" t="str">
        <f t="shared" si="167"/>
        <v>МС</v>
      </c>
      <c r="N371" s="747" t="str">
        <f t="shared" si="168"/>
        <v>МС</v>
      </c>
      <c r="O371" s="540"/>
      <c r="P371" s="753"/>
      <c r="Q371" s="753"/>
      <c r="R371" s="753"/>
      <c r="S371" s="753"/>
      <c r="T371" s="753"/>
      <c r="U371" s="753"/>
      <c r="V371" s="753"/>
      <c r="W371" s="753"/>
      <c r="X371" s="753"/>
      <c r="Y371" s="753"/>
      <c r="Z371" s="753"/>
      <c r="AA371" s="753"/>
      <c r="AB371" s="753"/>
      <c r="AC371" s="753"/>
      <c r="AD371" s="753"/>
      <c r="AE371" s="753"/>
      <c r="AF371" s="753"/>
      <c r="AG371" s="753"/>
      <c r="AH371" s="753"/>
    </row>
    <row r="372" spans="3:34">
      <c r="C372" s="542"/>
      <c r="D372" s="542"/>
      <c r="E372" s="542"/>
      <c r="F372" s="542"/>
      <c r="G372" s="542"/>
      <c r="H372" s="532">
        <v>1600</v>
      </c>
      <c r="I372" s="540" t="str">
        <f t="shared" si="165"/>
        <v>КМС</v>
      </c>
      <c r="J372" s="540" t="str">
        <f t="shared" si="166"/>
        <v>КМС</v>
      </c>
      <c r="K372" s="862"/>
      <c r="L372" s="532">
        <f>H372-0.2-40</f>
        <v>1559.8</v>
      </c>
      <c r="M372" s="540" t="str">
        <f t="shared" si="167"/>
        <v>КМС</v>
      </c>
      <c r="N372" s="540" t="str">
        <f t="shared" si="168"/>
        <v>КМС</v>
      </c>
      <c r="O372" s="540"/>
      <c r="P372" s="753"/>
      <c r="Q372" s="753"/>
      <c r="R372" s="753"/>
      <c r="S372" s="753"/>
      <c r="T372" s="753"/>
      <c r="U372" s="753"/>
      <c r="V372" s="753"/>
      <c r="W372" s="753"/>
      <c r="X372" s="753"/>
      <c r="Y372" s="753"/>
      <c r="Z372" s="753"/>
      <c r="AA372" s="753"/>
      <c r="AB372" s="753"/>
      <c r="AC372" s="753"/>
      <c r="AD372" s="753"/>
      <c r="AE372" s="753"/>
      <c r="AF372" s="753"/>
      <c r="AG372" s="753"/>
      <c r="AH372" s="753"/>
    </row>
    <row r="373" spans="3:34">
      <c r="C373" s="542"/>
      <c r="D373" s="542"/>
      <c r="E373" s="542"/>
      <c r="F373" s="542"/>
      <c r="G373" s="542"/>
      <c r="H373" s="532">
        <v>1740</v>
      </c>
      <c r="I373" s="540" t="str">
        <f t="shared" si="165"/>
        <v>I</v>
      </c>
      <c r="J373" s="540" t="str">
        <f t="shared" si="166"/>
        <v>I</v>
      </c>
      <c r="K373" s="862"/>
      <c r="L373" s="532">
        <f t="shared" ref="L373:L375" si="169">H373-0.2</f>
        <v>1739.8</v>
      </c>
      <c r="M373" s="540" t="str">
        <f t="shared" si="167"/>
        <v>I</v>
      </c>
      <c r="N373" s="540" t="str">
        <f t="shared" si="168"/>
        <v>I</v>
      </c>
      <c r="O373" s="540"/>
      <c r="P373" s="753"/>
      <c r="Q373" s="753"/>
      <c r="R373" s="753"/>
      <c r="S373" s="753"/>
      <c r="T373" s="753"/>
      <c r="U373" s="753"/>
      <c r="V373" s="753"/>
      <c r="W373" s="753"/>
      <c r="X373" s="753"/>
      <c r="Y373" s="753"/>
      <c r="Z373" s="753"/>
      <c r="AA373" s="753"/>
      <c r="AB373" s="753"/>
      <c r="AC373" s="753"/>
      <c r="AD373" s="753"/>
      <c r="AE373" s="753"/>
      <c r="AF373" s="753"/>
      <c r="AG373" s="753"/>
      <c r="AH373" s="753"/>
    </row>
    <row r="374" spans="3:34">
      <c r="C374" s="542"/>
      <c r="D374" s="542"/>
      <c r="E374" s="542"/>
      <c r="F374" s="542"/>
      <c r="G374" s="542"/>
      <c r="H374" s="532">
        <v>1845</v>
      </c>
      <c r="I374" s="540" t="str">
        <f t="shared" si="165"/>
        <v>II</v>
      </c>
      <c r="J374" s="540" t="str">
        <f t="shared" si="166"/>
        <v>II</v>
      </c>
      <c r="K374" s="862"/>
      <c r="L374" s="532">
        <f t="shared" si="169"/>
        <v>1844.8</v>
      </c>
      <c r="M374" s="540" t="str">
        <f t="shared" si="167"/>
        <v>II</v>
      </c>
      <c r="N374" s="540" t="str">
        <f t="shared" si="168"/>
        <v>II</v>
      </c>
      <c r="O374" s="540"/>
      <c r="P374" s="753"/>
      <c r="Q374" s="753"/>
      <c r="R374" s="753"/>
      <c r="S374" s="753"/>
      <c r="T374" s="753"/>
      <c r="U374" s="753"/>
      <c r="V374" s="753"/>
      <c r="W374" s="753"/>
      <c r="X374" s="753"/>
      <c r="Y374" s="753"/>
      <c r="Z374" s="753"/>
      <c r="AA374" s="753"/>
      <c r="AB374" s="753"/>
      <c r="AC374" s="753"/>
      <c r="AD374" s="753"/>
      <c r="AE374" s="753"/>
      <c r="AF374" s="753"/>
      <c r="AG374" s="753"/>
      <c r="AH374" s="753"/>
    </row>
    <row r="375" spans="3:34">
      <c r="C375" s="542"/>
      <c r="D375" s="542"/>
      <c r="E375" s="542"/>
      <c r="F375" s="542"/>
      <c r="G375" s="542"/>
      <c r="H375" s="532">
        <v>1945</v>
      </c>
      <c r="I375" s="540" t="str">
        <f>IF(ISBLANK(H375)," ",IF(ISTEXT(H375)," ",IF(H375&lt;=1211,"МСМК",IF(H375&lt;=1356,"МС",IF(H375&lt;=1600,"КМС",IF(H375&lt;=1740,"I",IF(H375&lt;=1845,"II",IF(H375&lt;=1945,"III","б/р"))))))))</f>
        <v>III</v>
      </c>
      <c r="J375" s="540" t="str">
        <f>IF(ISBLANK(H375)," ",IF(ISTEXT(H375)," ",IF(H375&lt;=1211,"МСМК",IF(H375&lt;=1356,"МС",IF(H375&lt;=1600,"КМС",IF(H375&lt;=1740,"I",IF(H375&lt;=1845,"II",IF(H375&lt;=1945,"III","б/р"))))))))</f>
        <v>III</v>
      </c>
      <c r="K375" s="862"/>
      <c r="L375" s="532">
        <f t="shared" si="169"/>
        <v>1944.8</v>
      </c>
      <c r="M375" s="540" t="str">
        <f>IF(ISBLANK(L375)," ",IF(ISTEXT(L375)," ",IF(L375&lt;=1211,"МСМК",IF(L375&lt;=1356,"МС",IF(L375&lt;=1559.8,"КМС",IF(L375&lt;=1739.8,"I",IF(L375&lt;=1844.8,"II",IF(L375&lt;=1944.8,"III","б/р"))))))))</f>
        <v>III</v>
      </c>
      <c r="N375" s="540" t="str">
        <f>IF(ISBLANK(L375)," ",IF(ISTEXT(L375)," ",IF(L375&lt;=1211,"МСМК",IF(L375&lt;=1356,"МС",IF(L375&lt;=1559.8,"КМС",IF(L375&lt;=1739.8,"I",IF(L375&lt;=1844.8,"II",IF(L375&lt;=1944.8,"III","б/р"))))))))</f>
        <v>III</v>
      </c>
      <c r="O375" s="540"/>
      <c r="P375" s="753"/>
      <c r="Q375" s="753"/>
      <c r="R375" s="753"/>
      <c r="S375" s="753"/>
      <c r="T375" s="753"/>
      <c r="U375" s="753"/>
      <c r="V375" s="753"/>
      <c r="W375" s="753"/>
      <c r="X375" s="753"/>
      <c r="Y375" s="753"/>
      <c r="Z375" s="753"/>
      <c r="AA375" s="753"/>
      <c r="AB375" s="753"/>
      <c r="AC375" s="753"/>
      <c r="AD375" s="753"/>
      <c r="AE375" s="753"/>
      <c r="AF375" s="753"/>
      <c r="AG375" s="753"/>
      <c r="AH375" s="753"/>
    </row>
    <row r="376" spans="3:34" ht="15" customHeight="1">
      <c r="C376" s="542"/>
      <c r="D376" s="542"/>
      <c r="E376" s="542"/>
      <c r="F376" s="542"/>
      <c r="G376" s="542"/>
      <c r="H376" s="541"/>
      <c r="I376" s="541"/>
      <c r="J376" s="542"/>
      <c r="K376" s="545"/>
    </row>
    <row r="377" spans="3:34">
      <c r="C377" s="546" t="s">
        <v>1065</v>
      </c>
    </row>
    <row r="378" spans="3:34">
      <c r="C378" s="542"/>
      <c r="D378" s="542"/>
      <c r="E378" s="542"/>
      <c r="F378" s="542"/>
      <c r="G378" s="542"/>
      <c r="H378" s="532">
        <v>938</v>
      </c>
      <c r="I378" s="540" t="str">
        <f t="shared" ref="I378:I382" si="170">IF(ISBLANK(H378)," ",IF(ISTEXT(H378)," ",IF(H378&lt;=938,"МСМК",IF(H378&lt;=1009,"МС",IF(H378&lt;=1130,"КМС",IF(H378&lt;=1500,"I",IF(H378&lt;=1615,"II",IF(H378&lt;=1720,"III","б/р"))))))))</f>
        <v>МСМК</v>
      </c>
      <c r="J378" s="540" t="str">
        <f t="shared" ref="J378:J382" si="171">IF(ISBLANK(H378)," ",IF(ISTEXT(H378)," ",IF(H378&lt;=938,"МСМК",IF(H378&lt;=1009,"МС",IF(H378&lt;=1130,"КМС",IF(H378&lt;=1500,"I",IF(H378&lt;=1615,"II",IF(H378&lt;=1720,"III","б/р"))))))))</f>
        <v>МСМК</v>
      </c>
      <c r="K378" s="862"/>
      <c r="L378" s="749">
        <f>H378</f>
        <v>938</v>
      </c>
      <c r="M378" s="747" t="str">
        <f t="shared" ref="M378:M382" si="172">IF(ISBLANK(L378)," ",IF(ISTEXT(L378)," ",IF(L378&lt;=938,"МСМК",IF(L378&lt;=1009,"МС",IF(L378&lt;=1129.8,"КМС",IF(L378&lt;=1459.8,"I",IF(L378&lt;=1614.8,"II",IF(L378&lt;=1719.8,"III","б/р"))))))))</f>
        <v>МСМК</v>
      </c>
      <c r="N378" s="747" t="str">
        <f>IF(ISBLANK(L378)," ",IF(ISTEXT(L378)," ",IF(L378&lt;=938,"МСМК",IF(L378&lt;=1009,"МС",IF(L378&lt;=1129.8,"КМС",IF(L378&lt;=1459.8,"I",IF(L378&lt;=1614.8,"II",IF(L378&lt;=1719.8,"III","б/р"))))))))</f>
        <v>МСМК</v>
      </c>
      <c r="O378" s="540"/>
      <c r="P378" s="753"/>
      <c r="Q378" s="753"/>
      <c r="R378" s="753"/>
      <c r="S378" s="753"/>
      <c r="T378" s="753"/>
      <c r="U378" s="753"/>
      <c r="V378" s="753"/>
      <c r="W378" s="753"/>
      <c r="X378" s="753"/>
      <c r="Y378" s="753"/>
      <c r="Z378" s="753"/>
      <c r="AA378" s="753"/>
      <c r="AB378" s="753"/>
      <c r="AC378" s="753"/>
      <c r="AD378" s="753"/>
      <c r="AE378" s="753"/>
      <c r="AF378" s="753"/>
      <c r="AG378" s="753"/>
      <c r="AH378" s="753"/>
    </row>
    <row r="379" spans="3:34">
      <c r="C379" s="542"/>
      <c r="D379" s="542"/>
      <c r="E379" s="542"/>
      <c r="F379" s="542"/>
      <c r="G379" s="542"/>
      <c r="H379" s="532">
        <v>1009</v>
      </c>
      <c r="I379" s="540" t="str">
        <f t="shared" si="170"/>
        <v>МС</v>
      </c>
      <c r="J379" s="540" t="str">
        <f t="shared" si="171"/>
        <v>МС</v>
      </c>
      <c r="K379" s="862"/>
      <c r="L379" s="749">
        <f>H379</f>
        <v>1009</v>
      </c>
      <c r="M379" s="747" t="str">
        <f t="shared" si="172"/>
        <v>МС</v>
      </c>
      <c r="N379" s="747" t="str">
        <f t="shared" ref="N379:N383" si="173">IF(ISBLANK(L379)," ",IF(ISTEXT(L379)," ",IF(L379&lt;=938,"МСМК",IF(L379&lt;=1009,"МС",IF(L379&lt;=1129.8,"КМС",IF(L379&lt;=1459.8,"I",IF(L379&lt;=1614.8,"II",IF(L379&lt;=1719.8,"III","б/р"))))))))</f>
        <v>МС</v>
      </c>
      <c r="O379" s="540"/>
      <c r="P379" s="753"/>
      <c r="Q379" s="753"/>
      <c r="R379" s="753"/>
      <c r="S379" s="753"/>
      <c r="T379" s="753"/>
      <c r="U379" s="753"/>
      <c r="V379" s="753"/>
      <c r="W379" s="753"/>
      <c r="X379" s="753"/>
      <c r="Y379" s="753"/>
      <c r="Z379" s="753"/>
      <c r="AA379" s="753"/>
      <c r="AB379" s="753"/>
      <c r="AC379" s="753"/>
      <c r="AD379" s="753"/>
      <c r="AE379" s="753"/>
      <c r="AF379" s="753"/>
      <c r="AG379" s="753"/>
      <c r="AH379" s="753"/>
    </row>
    <row r="380" spans="3:34">
      <c r="C380" s="542"/>
      <c r="D380" s="542"/>
      <c r="E380" s="542"/>
      <c r="F380" s="542"/>
      <c r="G380" s="542"/>
      <c r="H380" s="532">
        <v>1130</v>
      </c>
      <c r="I380" s="540" t="str">
        <f t="shared" si="170"/>
        <v>КМС</v>
      </c>
      <c r="J380" s="540" t="str">
        <f t="shared" si="171"/>
        <v>КМС</v>
      </c>
      <c r="K380" s="862"/>
      <c r="L380" s="532">
        <f>H380-0.2</f>
        <v>1129.8</v>
      </c>
      <c r="M380" s="540" t="str">
        <f t="shared" si="172"/>
        <v>КМС</v>
      </c>
      <c r="N380" s="540" t="str">
        <f t="shared" si="173"/>
        <v>КМС</v>
      </c>
      <c r="O380" s="540"/>
      <c r="P380" s="753"/>
      <c r="Q380" s="753"/>
      <c r="R380" s="753"/>
      <c r="S380" s="753"/>
      <c r="T380" s="753"/>
      <c r="U380" s="753"/>
      <c r="V380" s="753"/>
      <c r="W380" s="753"/>
      <c r="X380" s="753"/>
      <c r="Y380" s="753"/>
      <c r="Z380" s="753"/>
      <c r="AA380" s="753"/>
      <c r="AB380" s="753"/>
      <c r="AC380" s="753"/>
      <c r="AD380" s="753"/>
      <c r="AE380" s="753"/>
      <c r="AF380" s="753"/>
      <c r="AG380" s="753"/>
      <c r="AH380" s="753"/>
    </row>
    <row r="381" spans="3:34">
      <c r="C381" s="542"/>
      <c r="D381" s="542"/>
      <c r="E381" s="542"/>
      <c r="F381" s="542"/>
      <c r="G381" s="542"/>
      <c r="H381" s="532">
        <v>1500</v>
      </c>
      <c r="I381" s="540" t="str">
        <f t="shared" si="170"/>
        <v>I</v>
      </c>
      <c r="J381" s="540" t="str">
        <f t="shared" si="171"/>
        <v>I</v>
      </c>
      <c r="K381" s="862"/>
      <c r="L381" s="532">
        <f>H381-0.2-40</f>
        <v>1459.8</v>
      </c>
      <c r="M381" s="540" t="str">
        <f t="shared" si="172"/>
        <v>I</v>
      </c>
      <c r="N381" s="540" t="str">
        <f t="shared" si="173"/>
        <v>I</v>
      </c>
      <c r="O381" s="540"/>
      <c r="P381" s="753"/>
      <c r="Q381" s="753"/>
      <c r="R381" s="753"/>
      <c r="S381" s="753"/>
      <c r="T381" s="753"/>
      <c r="U381" s="753"/>
      <c r="V381" s="753"/>
      <c r="W381" s="753"/>
      <c r="X381" s="753"/>
      <c r="Y381" s="753"/>
      <c r="Z381" s="753"/>
      <c r="AA381" s="753"/>
      <c r="AB381" s="753"/>
      <c r="AC381" s="753"/>
      <c r="AD381" s="753"/>
      <c r="AE381" s="753"/>
      <c r="AF381" s="753"/>
      <c r="AG381" s="753"/>
      <c r="AH381" s="753"/>
    </row>
    <row r="382" spans="3:34">
      <c r="C382" s="542"/>
      <c r="D382" s="542"/>
      <c r="E382" s="542"/>
      <c r="F382" s="542"/>
      <c r="G382" s="542"/>
      <c r="H382" s="532">
        <v>1615</v>
      </c>
      <c r="I382" s="540" t="str">
        <f t="shared" si="170"/>
        <v>II</v>
      </c>
      <c r="J382" s="540" t="str">
        <f t="shared" si="171"/>
        <v>II</v>
      </c>
      <c r="K382" s="862"/>
      <c r="L382" s="532">
        <f t="shared" ref="L382:L383" si="174">H382-0.2</f>
        <v>1614.8</v>
      </c>
      <c r="M382" s="540" t="str">
        <f t="shared" si="172"/>
        <v>II</v>
      </c>
      <c r="N382" s="540" t="str">
        <f t="shared" si="173"/>
        <v>II</v>
      </c>
      <c r="O382" s="540"/>
      <c r="P382" s="753"/>
      <c r="Q382" s="753"/>
      <c r="R382" s="753"/>
      <c r="S382" s="753"/>
      <c r="T382" s="753"/>
      <c r="U382" s="753"/>
      <c r="V382" s="753"/>
      <c r="W382" s="753"/>
      <c r="X382" s="753"/>
      <c r="Y382" s="753"/>
      <c r="Z382" s="753"/>
      <c r="AA382" s="753"/>
      <c r="AB382" s="753"/>
      <c r="AC382" s="753"/>
      <c r="AD382" s="753"/>
      <c r="AE382" s="753"/>
      <c r="AF382" s="753"/>
      <c r="AG382" s="753"/>
      <c r="AH382" s="753"/>
    </row>
    <row r="383" spans="3:34">
      <c r="C383" s="542"/>
      <c r="D383" s="542"/>
      <c r="E383" s="542"/>
      <c r="F383" s="542"/>
      <c r="G383" s="542"/>
      <c r="H383" s="532">
        <v>1720</v>
      </c>
      <c r="I383" s="540" t="str">
        <f>IF(ISBLANK(H383)," ",IF(ISTEXT(H383)," ",IF(H383&lt;=938,"МСМК",IF(H383&lt;=1009,"МС",IF(H383&lt;=1130,"КМС",IF(H383&lt;=1500,"I",IF(H383&lt;=1615,"II",IF(H383&lt;=1720,"III","б/р"))))))))</f>
        <v>III</v>
      </c>
      <c r="J383" s="540" t="str">
        <f>IF(ISBLANK(H383)," ",IF(ISTEXT(H383)," ",IF(H383&lt;=938,"МСМК",IF(H383&lt;=1009,"МС",IF(H383&lt;=1130,"КМС",IF(H383&lt;=1500,"I",IF(H383&lt;=1615,"II",IF(H383&lt;=1720,"III","б/р"))))))))</f>
        <v>III</v>
      </c>
      <c r="K383" s="862"/>
      <c r="L383" s="532">
        <f t="shared" si="174"/>
        <v>1719.8</v>
      </c>
      <c r="M383" s="540" t="str">
        <f>IF(ISBLANK(L383)," ",IF(ISTEXT(L383)," ",IF(L383&lt;=938,"МСМК",IF(L383&lt;=1009,"МС",IF(L383&lt;=1129.8,"КМС",IF(L383&lt;=1459.8,"I",IF(L383&lt;=1614.8,"II",IF(L383&lt;=1719.8,"III","б/р"))))))))</f>
        <v>III</v>
      </c>
      <c r="N383" s="540" t="str">
        <f t="shared" si="173"/>
        <v>III</v>
      </c>
      <c r="O383" s="540"/>
      <c r="P383" s="753"/>
      <c r="Q383" s="753"/>
      <c r="R383" s="753"/>
      <c r="S383" s="753"/>
      <c r="T383" s="753"/>
      <c r="U383" s="753"/>
      <c r="V383" s="753"/>
      <c r="W383" s="753"/>
      <c r="X383" s="753"/>
      <c r="Y383" s="753"/>
      <c r="Z383" s="753"/>
      <c r="AA383" s="753"/>
      <c r="AB383" s="753"/>
      <c r="AC383" s="753"/>
      <c r="AD383" s="753"/>
      <c r="AE383" s="753"/>
      <c r="AF383" s="753"/>
      <c r="AG383" s="753"/>
      <c r="AH383" s="753"/>
    </row>
    <row r="384" spans="3:34" ht="15" customHeight="1">
      <c r="C384" s="542"/>
      <c r="D384" s="542"/>
      <c r="E384" s="542"/>
      <c r="F384" s="542"/>
      <c r="G384" s="542"/>
      <c r="H384" s="541"/>
      <c r="I384" s="541"/>
      <c r="J384" s="542"/>
      <c r="K384" s="545"/>
    </row>
    <row r="385" spans="1:12" ht="15" customHeight="1">
      <c r="C385" s="546" t="s">
        <v>755</v>
      </c>
      <c r="D385" s="542"/>
      <c r="E385" s="542"/>
      <c r="F385" s="542"/>
      <c r="G385" s="542"/>
      <c r="H385" s="541"/>
      <c r="I385" s="541"/>
      <c r="J385" s="542"/>
      <c r="K385" s="545"/>
    </row>
    <row r="386" spans="1:12" ht="15" customHeight="1">
      <c r="C386" s="546"/>
      <c r="D386" s="542"/>
      <c r="E386" s="542"/>
      <c r="F386" s="542"/>
      <c r="G386" s="542"/>
      <c r="H386" s="541"/>
      <c r="I386" s="541"/>
      <c r="J386" s="542"/>
      <c r="K386" s="545"/>
    </row>
    <row r="387" spans="1:12" ht="15" customHeight="1">
      <c r="C387" s="546" t="s">
        <v>756</v>
      </c>
      <c r="D387" s="542"/>
      <c r="E387" s="542"/>
      <c r="F387" s="542"/>
      <c r="G387" s="542"/>
      <c r="H387" s="541"/>
      <c r="I387" s="541"/>
      <c r="J387" s="542"/>
      <c r="K387" s="545"/>
    </row>
    <row r="388" spans="1:12" ht="15" customHeight="1">
      <c r="C388" s="546"/>
      <c r="D388" s="542"/>
      <c r="E388" s="542"/>
      <c r="F388" s="542"/>
      <c r="G388" s="542"/>
      <c r="H388" s="541"/>
      <c r="I388" s="541"/>
      <c r="J388" s="542"/>
      <c r="K388" s="545"/>
    </row>
    <row r="389" spans="1:12" ht="15" customHeight="1">
      <c r="C389" s="546" t="s">
        <v>757</v>
      </c>
      <c r="D389" s="542"/>
      <c r="E389" s="542"/>
      <c r="F389" s="542"/>
      <c r="G389" s="542"/>
      <c r="H389" s="541"/>
      <c r="I389" s="541"/>
      <c r="J389" s="542"/>
      <c r="K389" s="545"/>
    </row>
    <row r="390" spans="1:12" ht="15" customHeight="1">
      <c r="C390" s="546"/>
      <c r="D390" s="542"/>
      <c r="E390" s="542"/>
      <c r="F390" s="542"/>
      <c r="G390" s="542"/>
      <c r="H390" s="541"/>
      <c r="I390" s="541"/>
      <c r="J390" s="542"/>
      <c r="K390" s="545"/>
    </row>
    <row r="391" spans="1:12" ht="15" customHeight="1">
      <c r="C391" s="546"/>
      <c r="D391" s="542"/>
      <c r="E391" s="542"/>
      <c r="F391" s="542"/>
      <c r="G391" s="542"/>
      <c r="H391" s="541"/>
      <c r="I391" s="541"/>
      <c r="J391" s="542"/>
      <c r="K391" s="545"/>
    </row>
    <row r="392" spans="1:12" ht="15" customHeight="1">
      <c r="C392" s="546"/>
      <c r="D392" s="542"/>
      <c r="E392" s="542"/>
      <c r="F392" s="542"/>
      <c r="G392" s="542"/>
      <c r="H392" s="541"/>
      <c r="I392" s="541"/>
      <c r="J392" s="542"/>
      <c r="K392" s="545"/>
    </row>
    <row r="393" spans="1:12" ht="15" customHeight="1">
      <c r="C393" s="546"/>
      <c r="D393" s="542"/>
      <c r="E393" s="542"/>
      <c r="F393" s="542"/>
      <c r="G393" s="542"/>
      <c r="H393" s="541"/>
      <c r="I393" s="541"/>
      <c r="J393" s="542"/>
      <c r="K393" s="545"/>
    </row>
    <row r="394" spans="1:12" ht="14.25" customHeight="1">
      <c r="C394" s="546" t="s">
        <v>157</v>
      </c>
      <c r="D394" s="542"/>
      <c r="E394" s="542"/>
      <c r="F394" s="542"/>
      <c r="G394" s="542"/>
      <c r="H394" s="541"/>
      <c r="I394" s="541"/>
      <c r="J394" s="542"/>
      <c r="K394" s="545"/>
    </row>
    <row r="395" spans="1:12" ht="15" customHeight="1">
      <c r="C395" s="762"/>
      <c r="D395" s="531"/>
      <c r="E395" s="586"/>
      <c r="F395" s="762"/>
      <c r="G395" s="762"/>
      <c r="H395" s="532" t="s">
        <v>413</v>
      </c>
      <c r="I395" s="532"/>
      <c r="J395" s="542"/>
      <c r="K395" s="545"/>
    </row>
    <row r="396" spans="1:12" s="550" customFormat="1" ht="51.75" customHeight="1">
      <c r="A396" s="551"/>
      <c r="B396" s="550" t="s">
        <v>1066</v>
      </c>
      <c r="C396" s="550" t="s">
        <v>1067</v>
      </c>
      <c r="D396" s="550" t="s">
        <v>1077</v>
      </c>
      <c r="E396" s="550" t="s">
        <v>1078</v>
      </c>
      <c r="K396" s="855"/>
      <c r="L396" s="855"/>
    </row>
    <row r="397" spans="1:12" ht="15" customHeight="1">
      <c r="A397" s="586">
        <v>1</v>
      </c>
      <c r="B397" s="540" t="str">
        <f>IF(ISBLANK($A397)," ",IF(ISTEXT($A397)," ",IF($A397&lt;=2,"МСМК"," ")))</f>
        <v>МСМК</v>
      </c>
      <c r="C397" s="540" t="str">
        <f>IF(ISBLANK($A397)," ",IF(ISTEXT($A397)," ",IF($A397&lt;=1,"МСМК"," ")))</f>
        <v>МСМК</v>
      </c>
      <c r="D397" s="540" t="str">
        <f>IF(ISBLANK($A397)," ",IF(ISTEXT($A397)," ",IF($A397&lt;=3,"МС"," ")))</f>
        <v>МС</v>
      </c>
      <c r="E397" s="540" t="str">
        <f>IF(ISBLANK($A397)," ",IF(ISTEXT($A397)," ",IF($A397&lt;=2,"МС"," ")))</f>
        <v>МС</v>
      </c>
      <c r="F397" s="762"/>
      <c r="G397" s="762"/>
      <c r="H397" s="146"/>
      <c r="I397" s="540"/>
      <c r="J397" s="531"/>
      <c r="K397" s="531"/>
      <c r="L397" s="538"/>
    </row>
    <row r="398" spans="1:12" ht="15" customHeight="1">
      <c r="A398" s="586">
        <v>2</v>
      </c>
      <c r="B398" s="540" t="str">
        <f t="shared" ref="B398:B405" si="175">IF(ISBLANK($A398)," ",IF(ISTEXT($A398)," ",IF($A398&lt;=2,"МСМК"," ")))</f>
        <v>МСМК</v>
      </c>
      <c r="C398" s="540" t="str">
        <f t="shared" ref="C398:C405" si="176">IF(ISBLANK($A398)," ",IF(ISTEXT($A398)," ",IF($A398&lt;=1,"МСМК"," ")))</f>
        <v xml:space="preserve"> </v>
      </c>
      <c r="D398" s="540" t="str">
        <f t="shared" ref="D398:D405" si="177">IF(ISBLANK($A398)," ",IF(ISTEXT($A398)," ",IF($A398&lt;=3,"МС"," ")))</f>
        <v>МС</v>
      </c>
      <c r="E398" s="540" t="str">
        <f t="shared" ref="E398:E405" si="178">IF(ISBLANK($A398)," ",IF(ISTEXT($A398)," ",IF($A398&lt;=2,"МС"," ")))</f>
        <v>МС</v>
      </c>
      <c r="F398" s="762"/>
      <c r="G398" s="762"/>
      <c r="H398" s="146"/>
      <c r="I398" s="540"/>
      <c r="J398" s="531"/>
      <c r="K398" s="531"/>
      <c r="L398" s="538"/>
    </row>
    <row r="399" spans="1:12" ht="15" customHeight="1">
      <c r="A399" s="586">
        <v>3</v>
      </c>
      <c r="B399" s="540" t="str">
        <f t="shared" si="175"/>
        <v xml:space="preserve"> </v>
      </c>
      <c r="C399" s="540" t="str">
        <f t="shared" si="176"/>
        <v xml:space="preserve"> </v>
      </c>
      <c r="D399" s="540" t="str">
        <f t="shared" si="177"/>
        <v>МС</v>
      </c>
      <c r="E399" s="540" t="str">
        <f t="shared" si="178"/>
        <v xml:space="preserve"> </v>
      </c>
      <c r="F399" s="762"/>
      <c r="G399" s="762"/>
      <c r="H399" s="146"/>
      <c r="I399" s="540"/>
      <c r="J399" s="531"/>
      <c r="K399" s="531"/>
      <c r="L399" s="538"/>
    </row>
    <row r="400" spans="1:12" ht="15" customHeight="1">
      <c r="A400" s="586">
        <v>4</v>
      </c>
      <c r="B400" s="540" t="str">
        <f t="shared" si="175"/>
        <v xml:space="preserve"> </v>
      </c>
      <c r="C400" s="540" t="str">
        <f t="shared" si="176"/>
        <v xml:space="preserve"> </v>
      </c>
      <c r="D400" s="540" t="str">
        <f t="shared" si="177"/>
        <v xml:space="preserve"> </v>
      </c>
      <c r="E400" s="540" t="str">
        <f t="shared" si="178"/>
        <v xml:space="preserve"> </v>
      </c>
      <c r="F400" s="762"/>
      <c r="G400" s="762"/>
      <c r="H400" s="146"/>
      <c r="I400" s="540"/>
      <c r="J400" s="531"/>
      <c r="K400" s="531"/>
      <c r="L400" s="538"/>
    </row>
    <row r="401" spans="1:19" ht="15" customHeight="1">
      <c r="A401" s="586">
        <v>5</v>
      </c>
      <c r="B401" s="540" t="str">
        <f t="shared" si="175"/>
        <v xml:space="preserve"> </v>
      </c>
      <c r="C401" s="540" t="str">
        <f t="shared" si="176"/>
        <v xml:space="preserve"> </v>
      </c>
      <c r="D401" s="540" t="str">
        <f t="shared" si="177"/>
        <v xml:space="preserve"> </v>
      </c>
      <c r="E401" s="540" t="str">
        <f t="shared" si="178"/>
        <v xml:space="preserve"> </v>
      </c>
      <c r="F401" s="762"/>
      <c r="G401" s="762"/>
      <c r="H401" s="146"/>
      <c r="I401" s="540"/>
      <c r="J401" s="531"/>
      <c r="K401" s="531"/>
      <c r="L401" s="538"/>
    </row>
    <row r="402" spans="1:19" ht="15" customHeight="1">
      <c r="A402" s="586">
        <v>6</v>
      </c>
      <c r="B402" s="540" t="str">
        <f t="shared" si="175"/>
        <v xml:space="preserve"> </v>
      </c>
      <c r="C402" s="540" t="str">
        <f t="shared" si="176"/>
        <v xml:space="preserve"> </v>
      </c>
      <c r="D402" s="540" t="str">
        <f t="shared" si="177"/>
        <v xml:space="preserve"> </v>
      </c>
      <c r="E402" s="540" t="str">
        <f t="shared" si="178"/>
        <v xml:space="preserve"> </v>
      </c>
      <c r="F402" s="762"/>
      <c r="G402" s="762"/>
      <c r="H402" s="146"/>
      <c r="I402" s="540"/>
      <c r="J402" s="531"/>
      <c r="K402" s="531"/>
      <c r="L402" s="538"/>
    </row>
    <row r="403" spans="1:19" ht="15" customHeight="1">
      <c r="A403" s="586">
        <v>7</v>
      </c>
      <c r="B403" s="540" t="str">
        <f t="shared" si="175"/>
        <v xml:space="preserve"> </v>
      </c>
      <c r="C403" s="540" t="str">
        <f t="shared" si="176"/>
        <v xml:space="preserve"> </v>
      </c>
      <c r="D403" s="540" t="str">
        <f t="shared" si="177"/>
        <v xml:space="preserve"> </v>
      </c>
      <c r="E403" s="540" t="str">
        <f t="shared" si="178"/>
        <v xml:space="preserve"> </v>
      </c>
      <c r="F403" s="762"/>
      <c r="G403" s="762"/>
      <c r="H403" s="146"/>
      <c r="I403" s="540"/>
      <c r="J403" s="531"/>
      <c r="K403" s="531"/>
      <c r="L403" s="538"/>
    </row>
    <row r="404" spans="1:19" ht="15" customHeight="1">
      <c r="A404" s="586">
        <v>8</v>
      </c>
      <c r="B404" s="540" t="str">
        <f t="shared" si="175"/>
        <v xml:space="preserve"> </v>
      </c>
      <c r="C404" s="540" t="str">
        <f t="shared" si="176"/>
        <v xml:space="preserve"> </v>
      </c>
      <c r="D404" s="540" t="str">
        <f t="shared" si="177"/>
        <v xml:space="preserve"> </v>
      </c>
      <c r="E404" s="540" t="str">
        <f t="shared" si="178"/>
        <v xml:space="preserve"> </v>
      </c>
      <c r="F404" s="762"/>
      <c r="G404" s="762"/>
      <c r="H404" s="146"/>
      <c r="I404" s="540"/>
      <c r="J404" s="531"/>
      <c r="K404" s="531"/>
      <c r="L404" s="538"/>
    </row>
    <row r="405" spans="1:19" ht="14.25" customHeight="1">
      <c r="A405" s="586">
        <v>9</v>
      </c>
      <c r="B405" s="540" t="str">
        <f t="shared" si="175"/>
        <v xml:space="preserve"> </v>
      </c>
      <c r="C405" s="540" t="str">
        <f t="shared" si="176"/>
        <v xml:space="preserve"> </v>
      </c>
      <c r="D405" s="540" t="str">
        <f t="shared" si="177"/>
        <v xml:space="preserve"> </v>
      </c>
      <c r="E405" s="540" t="str">
        <f t="shared" si="178"/>
        <v xml:space="preserve"> </v>
      </c>
      <c r="F405" s="542"/>
      <c r="G405" s="542"/>
      <c r="H405" s="541"/>
      <c r="I405" s="541"/>
      <c r="J405" s="542"/>
      <c r="K405" s="545"/>
    </row>
    <row r="406" spans="1:19" ht="14.25" customHeight="1">
      <c r="C406" s="546" t="s">
        <v>1070</v>
      </c>
      <c r="D406" s="542"/>
      <c r="E406" s="542"/>
      <c r="F406" s="542"/>
      <c r="G406" s="542"/>
      <c r="H406" s="541"/>
      <c r="I406" s="541"/>
      <c r="J406" s="542"/>
      <c r="K406" s="545"/>
    </row>
    <row r="407" spans="1:19" ht="14.25" customHeight="1">
      <c r="C407" s="546" t="s">
        <v>1072</v>
      </c>
      <c r="D407" s="542"/>
      <c r="E407" s="542"/>
      <c r="F407" s="542"/>
      <c r="G407" s="542"/>
      <c r="H407" s="541"/>
      <c r="I407" s="541"/>
      <c r="J407" s="542"/>
      <c r="K407" s="545"/>
    </row>
    <row r="408" spans="1:19" ht="14.25" customHeight="1">
      <c r="C408" s="546" t="s">
        <v>1071</v>
      </c>
      <c r="D408" s="542"/>
      <c r="E408" s="542"/>
      <c r="F408" s="542"/>
      <c r="G408" s="542"/>
      <c r="H408" s="541"/>
      <c r="I408" s="541"/>
      <c r="J408" s="542"/>
      <c r="K408" s="545"/>
    </row>
    <row r="409" spans="1:19" ht="14.25" customHeight="1">
      <c r="C409" s="546" t="s">
        <v>1073</v>
      </c>
      <c r="D409" s="542"/>
      <c r="E409" s="542"/>
      <c r="F409" s="542"/>
      <c r="G409" s="542"/>
      <c r="H409" s="541"/>
      <c r="I409" s="541"/>
      <c r="J409" s="542"/>
      <c r="K409" s="545"/>
    </row>
    <row r="410" spans="1:19">
      <c r="C410" s="546" t="s">
        <v>1069</v>
      </c>
    </row>
    <row r="411" spans="1:19">
      <c r="C411" s="546" t="s">
        <v>1068</v>
      </c>
    </row>
    <row r="412" spans="1:19">
      <c r="C412" s="546" t="s">
        <v>1074</v>
      </c>
    </row>
    <row r="413" spans="1:19">
      <c r="C413" s="546" t="s">
        <v>1075</v>
      </c>
    </row>
    <row r="414" spans="1:19">
      <c r="C414" s="546" t="s">
        <v>1076</v>
      </c>
    </row>
    <row r="415" spans="1:19" s="550" customFormat="1" ht="83.25" customHeight="1">
      <c r="A415" s="551"/>
      <c r="B415" s="550" t="s">
        <v>1066</v>
      </c>
      <c r="C415" s="550" t="s">
        <v>1067</v>
      </c>
      <c r="D415" s="550" t="s">
        <v>421</v>
      </c>
      <c r="E415" s="550" t="s">
        <v>1084</v>
      </c>
      <c r="F415" s="550" t="s">
        <v>1083</v>
      </c>
      <c r="G415" s="550" t="s">
        <v>1085</v>
      </c>
      <c r="H415" s="550" t="s">
        <v>422</v>
      </c>
      <c r="I415" s="550" t="s">
        <v>423</v>
      </c>
      <c r="J415" s="550" t="s">
        <v>424</v>
      </c>
      <c r="K415" s="855" t="s">
        <v>425</v>
      </c>
      <c r="L415" s="550" t="s">
        <v>426</v>
      </c>
      <c r="M415" s="550" t="s">
        <v>1079</v>
      </c>
      <c r="N415" s="550" t="s">
        <v>427</v>
      </c>
      <c r="O415" s="550" t="s">
        <v>428</v>
      </c>
      <c r="P415" s="550" t="s">
        <v>1081</v>
      </c>
      <c r="Q415" s="550" t="s">
        <v>1080</v>
      </c>
      <c r="R415" s="550" t="s">
        <v>1082</v>
      </c>
      <c r="S415" s="550" t="s">
        <v>429</v>
      </c>
    </row>
    <row r="416" spans="1:19" ht="15" customHeight="1">
      <c r="A416" s="586">
        <v>1</v>
      </c>
      <c r="B416" s="538" t="str">
        <f>IF($A416&lt;7,"МСМК"," ")</f>
        <v>МСМК</v>
      </c>
      <c r="C416" s="538" t="str">
        <f>IF($A416&lt;5,"МСМК"," ")</f>
        <v>МСМК</v>
      </c>
      <c r="D416" s="540" t="str">
        <f>IF(ISBLANK($A416)," ",IF(ISTEXT($A416)," ",IF($A416&lt;=1,"МСМК"," ")))</f>
        <v>МСМК</v>
      </c>
      <c r="E416" s="540" t="str">
        <f>IF(ISBLANK($A416)," ",IF(ISTEXT($A416)," ",IF($A416&lt;=6,"МС"," ")))</f>
        <v>МС</v>
      </c>
      <c r="F416" s="540" t="str">
        <f>IF(ISBLANK($A416)," ",IF(ISTEXT($A416)," ",IF($A416&lt;=4,"МС"," ")))</f>
        <v>МС</v>
      </c>
      <c r="G416" s="540" t="str">
        <f>IF(ISBLANK($A416)," ",IF(ISTEXT($A416)," ",IF($A416&lt;=2,"МС",IF($A416&lt;=6,"КМС"," "))))</f>
        <v>МС</v>
      </c>
      <c r="H416" s="540" t="str">
        <f>IF(ISBLANK($A416)," ",IF(ISTEXT($A416)," ",IF($A416&lt;=4,"МС",IF($A416&lt;=8,"КМС"," "))))</f>
        <v>МС</v>
      </c>
      <c r="I416" s="540" t="str">
        <f>IF(ISBLANK($A416)," ",IF(ISTEXT($A416)," ",IF($A416&lt;=3,"МС",IF($A416&lt;=6,"КМС"," "))))</f>
        <v>МС</v>
      </c>
      <c r="J416" s="540" t="str">
        <f>IF(ISBLANK($A416)," ",IF(ISTEXT($A416)," ",IF($A416&lt;=4,"КМС"," ")))</f>
        <v>КМС</v>
      </c>
      <c r="K416" s="540" t="str">
        <f>IF(ISBLANK($A416)," ",IF(ISTEXT($A416)," ",IF($A416&lt;=2,"МС",IF($A416&lt;=4,"КМС"," "))))</f>
        <v>МС</v>
      </c>
      <c r="L416" s="540" t="str">
        <f>IF(ISBLANK($A416)," ",IF(ISTEXT($A416)," ",IF($A416&lt;=1,"КМС",IF($A416&lt;=4,"I"," "))))</f>
        <v>КМС</v>
      </c>
      <c r="M416" s="540" t="str">
        <f>IF(ISBLANK($A416)," ",IF(ISTEXT($A416)," ",IF($A416&lt;=2,"I",IF($A416&lt;=4,"II",IF($A416&lt;=6,"III"," ")))))</f>
        <v>I</v>
      </c>
      <c r="N416" s="540" t="str">
        <f>IF(ISBLANK($A416)," ",IF(ISTEXT($A416)," ",IF($A416&lt;=1,"КМС",IF($A416&lt;=4,"I"," "))))</f>
        <v>КМС</v>
      </c>
      <c r="O416" s="540" t="str">
        <f>IF(ISBLANK($A416)," ",IF(ISTEXT($A416)," ",IF($A416&lt;=2,"I",IF($A416&lt;=4,"II",IF($A416&lt;=6,"III"," ")))))</f>
        <v>I</v>
      </c>
      <c r="P416" s="540" t="str">
        <f>IF(ISBLANK($A416)," ",IF(ISTEXT($A416)," ",IF($A416&lt;=1,"I",IF($A416&lt;=3,"II",IF($A416&lt;=6,"III"," ")))))</f>
        <v>I</v>
      </c>
      <c r="Q416" s="540" t="str">
        <f t="shared" ref="Q416:Q424" si="179">IF(ISBLANK($A416)," ",IF(ISTEXT($A416)," ",IF($A416&lt;=3,"II",IF($A416&lt;=5,"III",IF($A416&lt;=7,"I юн"," ")))))</f>
        <v>II</v>
      </c>
      <c r="R416" s="540" t="str">
        <f>IF(ISBLANK($A416)," ",IF(ISTEXT($A416)," ",IF($A416&lt;=3,"III",IF($A416&lt;=6,"I юн",IF($A416&lt;=8,"II юн"," ")))))</f>
        <v>III</v>
      </c>
      <c r="S416" s="540" t="str">
        <f>IF(ISBLANK($A416)," ",IF(ISTEXT($A416)," ",IF($A416&lt;=3,"I юн",IF($A416&lt;=6,"II юн",IF($A416&lt;=9,"III юн"," ")))))</f>
        <v>I юн</v>
      </c>
    </row>
    <row r="417" spans="1:19" ht="15" customHeight="1">
      <c r="A417" s="586">
        <v>2</v>
      </c>
      <c r="B417" s="538" t="str">
        <f t="shared" ref="B417:B424" si="180">IF($A417&lt;7,"МСМК"," ")</f>
        <v>МСМК</v>
      </c>
      <c r="C417" s="538" t="str">
        <f t="shared" ref="C417:C424" si="181">IF($A417&lt;5,"МСМК"," ")</f>
        <v>МСМК</v>
      </c>
      <c r="D417" s="540" t="str">
        <f t="shared" ref="D417:D421" si="182">IF(ISBLANK($A417)," ",IF(ISTEXT($A417)," ",IF($A417&lt;=1,"МСМК"," ")))</f>
        <v xml:space="preserve"> </v>
      </c>
      <c r="E417" s="540" t="str">
        <f t="shared" ref="E417:E425" si="183">IF(ISBLANK($A417)," ",IF(ISTEXT($A417)," ",IF($A417&lt;=6,"МС"," ")))</f>
        <v>МС</v>
      </c>
      <c r="F417" s="540" t="str">
        <f t="shared" ref="F417:F425" si="184">IF(ISBLANK($A417)," ",IF(ISTEXT($A417)," ",IF($A417&lt;=4,"МС"," ")))</f>
        <v>МС</v>
      </c>
      <c r="G417" s="540" t="str">
        <f t="shared" ref="G417:G425" si="185">IF(ISBLANK($A417)," ",IF(ISTEXT($A417)," ",IF($A417&lt;=2,"МС",IF($A417&lt;=6,"КМС"," "))))</f>
        <v>МС</v>
      </c>
      <c r="H417" s="540" t="str">
        <f t="shared" ref="H417:H425" si="186">IF(ISBLANK($A417)," ",IF(ISTEXT($A417)," ",IF($A417&lt;=4,"МС",IF($A417&lt;=8,"КМС"," "))))</f>
        <v>МС</v>
      </c>
      <c r="I417" s="540" t="str">
        <f t="shared" ref="I417:I425" si="187">IF(ISBLANK($A417)," ",IF(ISTEXT($A417)," ",IF($A417&lt;=3,"МС",IF($A417&lt;=6,"КМС"," "))))</f>
        <v>МС</v>
      </c>
      <c r="J417" s="540" t="str">
        <f t="shared" ref="J417:J425" si="188">IF(ISBLANK($A417)," ",IF(ISTEXT($A417)," ",IF($A417&lt;=4,"КМС"," ")))</f>
        <v>КМС</v>
      </c>
      <c r="K417" s="540" t="str">
        <f t="shared" ref="K417:L425" si="189">IF(ISBLANK($A417)," ",IF(ISTEXT($A417)," ",IF($A417&lt;=2,"МС",IF($A417&lt;=4,"КМС"," "))))</f>
        <v>МС</v>
      </c>
      <c r="L417" s="540" t="str">
        <f t="shared" ref="L417:L424" si="190">IF(ISBLANK($A417)," ",IF(ISTEXT($A417)," ",IF($A417&lt;=1,"КМС",IF($A417&lt;=4,"I"," "))))</f>
        <v>I</v>
      </c>
      <c r="M417" s="540" t="str">
        <f t="shared" ref="M417:M425" si="191">IF(ISBLANK($A417)," ",IF(ISTEXT($A417)," ",IF($A417&lt;=2,"I",IF($A417&lt;=4,"II",IF($A417&lt;=6,"III"," ")))))</f>
        <v>I</v>
      </c>
      <c r="N417" s="540" t="str">
        <f t="shared" ref="N417:N421" si="192">IF(ISBLANK($A417)," ",IF(ISTEXT($A417)," ",IF($A417&lt;=1,"КМС",IF($A417&lt;=4,"I"," "))))</f>
        <v>I</v>
      </c>
      <c r="O417" s="540" t="str">
        <f t="shared" ref="O417:O426" si="193">IF(ISBLANK($A417)," ",IF(ISTEXT($A417)," ",IF($A417&lt;=2,"I",IF($A417&lt;=4,"II",IF($A417&lt;=6,"III"," ")))))</f>
        <v>I</v>
      </c>
      <c r="P417" s="540" t="str">
        <f t="shared" ref="P417:P424" si="194">IF(ISBLANK($A417)," ",IF(ISTEXT($A417)," ",IF($A417&lt;=1,"I",IF($A417&lt;=3,"II",IF($A417&lt;=6,"III"," ")))))</f>
        <v>II</v>
      </c>
      <c r="Q417" s="540" t="str">
        <f t="shared" si="179"/>
        <v>II</v>
      </c>
      <c r="R417" s="540" t="str">
        <f>IF(ISBLANK($A417)," ",IF(ISTEXT($A417)," ",IF($A417&lt;=3,"III",IF($A417&lt;=6,"I юн",IF($A417&lt;=8,"II юн"," ")))))</f>
        <v>III</v>
      </c>
      <c r="S417" s="540" t="str">
        <f t="shared" ref="S417:S424" si="195">IF(ISBLANK($A417)," ",IF(ISTEXT($A417)," ",IF($A417&lt;=3,"I юн",IF($A417&lt;=6,"II юн",IF($A417&lt;=9,"III юн"," ")))))</f>
        <v>I юн</v>
      </c>
    </row>
    <row r="418" spans="1:19" ht="15" customHeight="1">
      <c r="A418" s="586">
        <v>3</v>
      </c>
      <c r="B418" s="538" t="str">
        <f t="shared" si="180"/>
        <v>МСМК</v>
      </c>
      <c r="C418" s="538" t="str">
        <f t="shared" si="181"/>
        <v>МСМК</v>
      </c>
      <c r="D418" s="540" t="str">
        <f t="shared" si="182"/>
        <v xml:space="preserve"> </v>
      </c>
      <c r="E418" s="540" t="str">
        <f t="shared" si="183"/>
        <v>МС</v>
      </c>
      <c r="F418" s="540" t="str">
        <f t="shared" si="184"/>
        <v>МС</v>
      </c>
      <c r="G418" s="540" t="str">
        <f t="shared" si="185"/>
        <v>КМС</v>
      </c>
      <c r="H418" s="540" t="str">
        <f t="shared" si="186"/>
        <v>МС</v>
      </c>
      <c r="I418" s="540" t="str">
        <f t="shared" si="187"/>
        <v>МС</v>
      </c>
      <c r="J418" s="540" t="str">
        <f t="shared" si="188"/>
        <v>КМС</v>
      </c>
      <c r="K418" s="540" t="str">
        <f t="shared" si="189"/>
        <v>КМС</v>
      </c>
      <c r="L418" s="540" t="str">
        <f t="shared" si="190"/>
        <v>I</v>
      </c>
      <c r="M418" s="540" t="str">
        <f t="shared" si="191"/>
        <v>II</v>
      </c>
      <c r="N418" s="540" t="str">
        <f t="shared" si="192"/>
        <v>I</v>
      </c>
      <c r="O418" s="540" t="str">
        <f t="shared" si="193"/>
        <v>II</v>
      </c>
      <c r="P418" s="540" t="str">
        <f t="shared" si="194"/>
        <v>II</v>
      </c>
      <c r="Q418" s="540" t="str">
        <f t="shared" si="179"/>
        <v>II</v>
      </c>
      <c r="R418" s="540" t="str">
        <f t="shared" ref="R418:R425" si="196">IF(ISBLANK($A418)," ",IF(ISTEXT($A418)," ",IF($A418&lt;=3,"III",IF($A418&lt;=6,"I юн",IF($A418&lt;=8,"II юн"," ")))))</f>
        <v>III</v>
      </c>
      <c r="S418" s="540" t="str">
        <f t="shared" si="195"/>
        <v>I юн</v>
      </c>
    </row>
    <row r="419" spans="1:19" ht="15" customHeight="1">
      <c r="A419" s="586">
        <v>4</v>
      </c>
      <c r="B419" s="538" t="str">
        <f t="shared" si="180"/>
        <v>МСМК</v>
      </c>
      <c r="C419" s="538" t="str">
        <f t="shared" si="181"/>
        <v>МСМК</v>
      </c>
      <c r="D419" s="540" t="str">
        <f t="shared" si="182"/>
        <v xml:space="preserve"> </v>
      </c>
      <c r="E419" s="540" t="str">
        <f t="shared" si="183"/>
        <v>МС</v>
      </c>
      <c r="F419" s="540" t="str">
        <f t="shared" si="184"/>
        <v>МС</v>
      </c>
      <c r="G419" s="540" t="str">
        <f t="shared" si="185"/>
        <v>КМС</v>
      </c>
      <c r="H419" s="540" t="str">
        <f t="shared" si="186"/>
        <v>МС</v>
      </c>
      <c r="I419" s="540" t="str">
        <f t="shared" si="187"/>
        <v>КМС</v>
      </c>
      <c r="J419" s="540" t="str">
        <f t="shared" si="188"/>
        <v>КМС</v>
      </c>
      <c r="K419" s="540" t="str">
        <f t="shared" si="189"/>
        <v>КМС</v>
      </c>
      <c r="L419" s="540" t="str">
        <f t="shared" si="190"/>
        <v>I</v>
      </c>
      <c r="M419" s="540" t="str">
        <f t="shared" si="191"/>
        <v>II</v>
      </c>
      <c r="N419" s="540" t="str">
        <f t="shared" si="192"/>
        <v>I</v>
      </c>
      <c r="O419" s="540" t="str">
        <f t="shared" si="193"/>
        <v>II</v>
      </c>
      <c r="P419" s="540" t="str">
        <f t="shared" si="194"/>
        <v>III</v>
      </c>
      <c r="Q419" s="540" t="str">
        <f t="shared" si="179"/>
        <v>III</v>
      </c>
      <c r="R419" s="540" t="str">
        <f t="shared" si="196"/>
        <v>I юн</v>
      </c>
      <c r="S419" s="540" t="str">
        <f t="shared" si="195"/>
        <v>II юн</v>
      </c>
    </row>
    <row r="420" spans="1:19" ht="15" customHeight="1">
      <c r="A420" s="586">
        <v>5</v>
      </c>
      <c r="B420" s="538" t="str">
        <f t="shared" si="180"/>
        <v>МСМК</v>
      </c>
      <c r="C420" s="538" t="str">
        <f t="shared" si="181"/>
        <v xml:space="preserve"> </v>
      </c>
      <c r="D420" s="540" t="str">
        <f t="shared" si="182"/>
        <v xml:space="preserve"> </v>
      </c>
      <c r="E420" s="540" t="str">
        <f t="shared" si="183"/>
        <v>МС</v>
      </c>
      <c r="F420" s="540" t="str">
        <f t="shared" si="184"/>
        <v xml:space="preserve"> </v>
      </c>
      <c r="G420" s="540" t="str">
        <f t="shared" si="185"/>
        <v>КМС</v>
      </c>
      <c r="H420" s="540" t="str">
        <f t="shared" si="186"/>
        <v>КМС</v>
      </c>
      <c r="I420" s="540" t="str">
        <f t="shared" si="187"/>
        <v>КМС</v>
      </c>
      <c r="J420" s="540" t="str">
        <f t="shared" si="188"/>
        <v xml:space="preserve"> </v>
      </c>
      <c r="K420" s="540" t="str">
        <f t="shared" si="189"/>
        <v xml:space="preserve"> </v>
      </c>
      <c r="L420" s="540" t="str">
        <f t="shared" si="190"/>
        <v xml:space="preserve"> </v>
      </c>
      <c r="M420" s="540" t="str">
        <f t="shared" si="191"/>
        <v>III</v>
      </c>
      <c r="N420" s="540" t="str">
        <f t="shared" si="192"/>
        <v xml:space="preserve"> </v>
      </c>
      <c r="O420" s="540" t="str">
        <f t="shared" si="193"/>
        <v>III</v>
      </c>
      <c r="P420" s="540" t="str">
        <f t="shared" si="194"/>
        <v>III</v>
      </c>
      <c r="Q420" s="540" t="str">
        <f t="shared" si="179"/>
        <v>III</v>
      </c>
      <c r="R420" s="540" t="str">
        <f t="shared" si="196"/>
        <v>I юн</v>
      </c>
      <c r="S420" s="540" t="str">
        <f t="shared" si="195"/>
        <v>II юн</v>
      </c>
    </row>
    <row r="421" spans="1:19" ht="15" customHeight="1">
      <c r="A421" s="586">
        <v>6</v>
      </c>
      <c r="B421" s="538" t="str">
        <f t="shared" si="180"/>
        <v>МСМК</v>
      </c>
      <c r="C421" s="538" t="str">
        <f t="shared" si="181"/>
        <v xml:space="preserve"> </v>
      </c>
      <c r="D421" s="540" t="str">
        <f t="shared" si="182"/>
        <v xml:space="preserve"> </v>
      </c>
      <c r="E421" s="540" t="str">
        <f t="shared" si="183"/>
        <v>МС</v>
      </c>
      <c r="F421" s="540" t="str">
        <f t="shared" si="184"/>
        <v xml:space="preserve"> </v>
      </c>
      <c r="G421" s="540" t="str">
        <f t="shared" si="185"/>
        <v>КМС</v>
      </c>
      <c r="H421" s="540" t="str">
        <f t="shared" si="186"/>
        <v>КМС</v>
      </c>
      <c r="I421" s="540" t="str">
        <f t="shared" si="187"/>
        <v>КМС</v>
      </c>
      <c r="J421" s="540" t="str">
        <f t="shared" si="188"/>
        <v xml:space="preserve"> </v>
      </c>
      <c r="K421" s="540" t="str">
        <f t="shared" si="189"/>
        <v xml:space="preserve"> </v>
      </c>
      <c r="L421" s="540" t="str">
        <f t="shared" si="190"/>
        <v xml:space="preserve"> </v>
      </c>
      <c r="M421" s="540" t="str">
        <f t="shared" si="191"/>
        <v>III</v>
      </c>
      <c r="N421" s="540" t="str">
        <f t="shared" si="192"/>
        <v xml:space="preserve"> </v>
      </c>
      <c r="O421" s="540" t="str">
        <f t="shared" si="193"/>
        <v>III</v>
      </c>
      <c r="P421" s="540" t="str">
        <f t="shared" si="194"/>
        <v>III</v>
      </c>
      <c r="Q421" s="540" t="str">
        <f t="shared" si="179"/>
        <v>I юн</v>
      </c>
      <c r="R421" s="540" t="str">
        <f t="shared" si="196"/>
        <v>I юн</v>
      </c>
      <c r="S421" s="540" t="str">
        <f t="shared" si="195"/>
        <v>II юн</v>
      </c>
    </row>
    <row r="422" spans="1:19" ht="15" customHeight="1">
      <c r="A422" s="586">
        <v>7</v>
      </c>
      <c r="B422" s="538" t="str">
        <f t="shared" si="180"/>
        <v xml:space="preserve"> </v>
      </c>
      <c r="C422" s="538" t="str">
        <f t="shared" si="181"/>
        <v xml:space="preserve"> </v>
      </c>
      <c r="D422" s="531"/>
      <c r="E422" s="540" t="str">
        <f t="shared" si="183"/>
        <v xml:space="preserve"> </v>
      </c>
      <c r="F422" s="540" t="str">
        <f t="shared" si="184"/>
        <v xml:space="preserve"> </v>
      </c>
      <c r="G422" s="540" t="str">
        <f t="shared" si="185"/>
        <v xml:space="preserve"> </v>
      </c>
      <c r="H422" s="540" t="str">
        <f t="shared" si="186"/>
        <v>КМС</v>
      </c>
      <c r="I422" s="540" t="str">
        <f t="shared" si="187"/>
        <v xml:space="preserve"> </v>
      </c>
      <c r="J422" s="540" t="str">
        <f t="shared" si="188"/>
        <v xml:space="preserve"> </v>
      </c>
      <c r="K422" s="540" t="str">
        <f t="shared" si="189"/>
        <v xml:space="preserve"> </v>
      </c>
      <c r="L422" s="540" t="str">
        <f t="shared" si="190"/>
        <v xml:space="preserve"> </v>
      </c>
      <c r="M422" s="540" t="str">
        <f t="shared" si="191"/>
        <v xml:space="preserve"> </v>
      </c>
      <c r="N422" s="531"/>
      <c r="O422" s="540" t="str">
        <f t="shared" si="193"/>
        <v xml:space="preserve"> </v>
      </c>
      <c r="P422" s="540" t="str">
        <f t="shared" si="194"/>
        <v xml:space="preserve"> </v>
      </c>
      <c r="Q422" s="540" t="str">
        <f t="shared" si="179"/>
        <v>I юн</v>
      </c>
      <c r="R422" s="540" t="str">
        <f t="shared" si="196"/>
        <v>II юн</v>
      </c>
      <c r="S422" s="540" t="str">
        <f t="shared" si="195"/>
        <v>III юн</v>
      </c>
    </row>
    <row r="423" spans="1:19" ht="15" customHeight="1">
      <c r="A423" s="586">
        <v>8</v>
      </c>
      <c r="B423" s="538" t="str">
        <f t="shared" si="180"/>
        <v xml:space="preserve"> </v>
      </c>
      <c r="C423" s="538" t="str">
        <f t="shared" si="181"/>
        <v xml:space="preserve"> </v>
      </c>
      <c r="D423" s="531"/>
      <c r="E423" s="540" t="str">
        <f t="shared" si="183"/>
        <v xml:space="preserve"> </v>
      </c>
      <c r="F423" s="540" t="str">
        <f t="shared" si="184"/>
        <v xml:space="preserve"> </v>
      </c>
      <c r="G423" s="540" t="str">
        <f t="shared" si="185"/>
        <v xml:space="preserve"> </v>
      </c>
      <c r="H423" s="540" t="str">
        <f t="shared" si="186"/>
        <v>КМС</v>
      </c>
      <c r="I423" s="540" t="str">
        <f t="shared" si="187"/>
        <v xml:space="preserve"> </v>
      </c>
      <c r="J423" s="540" t="str">
        <f t="shared" si="188"/>
        <v xml:space="preserve"> </v>
      </c>
      <c r="K423" s="540" t="str">
        <f t="shared" si="189"/>
        <v xml:space="preserve"> </v>
      </c>
      <c r="L423" s="540" t="str">
        <f t="shared" si="190"/>
        <v xml:space="preserve"> </v>
      </c>
      <c r="M423" s="540" t="str">
        <f t="shared" si="191"/>
        <v xml:space="preserve"> </v>
      </c>
      <c r="N423" s="531"/>
      <c r="O423" s="540" t="str">
        <f t="shared" si="193"/>
        <v xml:space="preserve"> </v>
      </c>
      <c r="P423" s="540" t="str">
        <f t="shared" si="194"/>
        <v xml:space="preserve"> </v>
      </c>
      <c r="Q423" s="540" t="str">
        <f t="shared" si="179"/>
        <v xml:space="preserve"> </v>
      </c>
      <c r="R423" s="540" t="str">
        <f t="shared" si="196"/>
        <v>II юн</v>
      </c>
      <c r="S423" s="540" t="str">
        <f t="shared" si="195"/>
        <v>III юн</v>
      </c>
    </row>
    <row r="424" spans="1:19" ht="14.25" customHeight="1">
      <c r="A424" s="586">
        <v>9</v>
      </c>
      <c r="B424" s="538" t="str">
        <f t="shared" si="180"/>
        <v xml:space="preserve"> </v>
      </c>
      <c r="C424" s="538" t="str">
        <f t="shared" si="181"/>
        <v xml:space="preserve"> </v>
      </c>
      <c r="D424" s="542"/>
      <c r="E424" s="540" t="str">
        <f t="shared" si="183"/>
        <v xml:space="preserve"> </v>
      </c>
      <c r="F424" s="540" t="str">
        <f t="shared" si="184"/>
        <v xml:space="preserve"> </v>
      </c>
      <c r="G424" s="540" t="str">
        <f t="shared" si="185"/>
        <v xml:space="preserve"> </v>
      </c>
      <c r="H424" s="540" t="str">
        <f t="shared" si="186"/>
        <v xml:space="preserve"> </v>
      </c>
      <c r="I424" s="540" t="str">
        <f t="shared" si="187"/>
        <v xml:space="preserve"> </v>
      </c>
      <c r="J424" s="540" t="str">
        <f t="shared" si="188"/>
        <v xml:space="preserve"> </v>
      </c>
      <c r="K424" s="540" t="str">
        <f t="shared" si="189"/>
        <v xml:space="preserve"> </v>
      </c>
      <c r="L424" s="540" t="str">
        <f t="shared" si="190"/>
        <v xml:space="preserve"> </v>
      </c>
      <c r="M424" s="540" t="str">
        <f t="shared" si="191"/>
        <v xml:space="preserve"> </v>
      </c>
      <c r="N424" s="542"/>
      <c r="O424" s="540" t="str">
        <f t="shared" si="193"/>
        <v xml:space="preserve"> </v>
      </c>
      <c r="P424" s="540" t="str">
        <f t="shared" si="194"/>
        <v xml:space="preserve"> </v>
      </c>
      <c r="Q424" s="540" t="str">
        <f t="shared" si="179"/>
        <v xml:space="preserve"> </v>
      </c>
      <c r="R424" s="540" t="str">
        <f t="shared" si="196"/>
        <v xml:space="preserve"> </v>
      </c>
      <c r="S424" s="540" t="str">
        <f t="shared" si="195"/>
        <v>III юн</v>
      </c>
    </row>
    <row r="425" spans="1:19">
      <c r="E425" s="540" t="str">
        <f t="shared" si="183"/>
        <v xml:space="preserve"> </v>
      </c>
      <c r="F425" s="540" t="str">
        <f t="shared" si="184"/>
        <v xml:space="preserve"> </v>
      </c>
      <c r="G425" s="540" t="str">
        <f t="shared" si="185"/>
        <v xml:space="preserve"> </v>
      </c>
      <c r="H425" s="540" t="str">
        <f t="shared" si="186"/>
        <v xml:space="preserve"> </v>
      </c>
      <c r="I425" s="540" t="str">
        <f t="shared" si="187"/>
        <v xml:space="preserve"> </v>
      </c>
      <c r="J425" s="540" t="str">
        <f t="shared" si="188"/>
        <v xml:space="preserve"> </v>
      </c>
      <c r="K425" s="540" t="str">
        <f t="shared" si="189"/>
        <v xml:space="preserve"> </v>
      </c>
      <c r="L425" s="540" t="str">
        <f t="shared" si="189"/>
        <v xml:space="preserve"> </v>
      </c>
      <c r="M425" s="540" t="str">
        <f t="shared" si="191"/>
        <v xml:space="preserve"> </v>
      </c>
      <c r="O425" s="540" t="str">
        <f>IF(ISBLANK($A425)," ",IF(ISTEXT($A425)," ",IF($A425&lt;=2,"I",IF($A425&lt;=4,"II",IF($A425&lt;=6,"III"," ")))))</f>
        <v xml:space="preserve"> </v>
      </c>
      <c r="R425" s="540" t="str">
        <f t="shared" si="196"/>
        <v xml:space="preserve"> </v>
      </c>
    </row>
    <row r="426" spans="1:19" ht="14.25" customHeight="1">
      <c r="C426" s="546" t="s">
        <v>411</v>
      </c>
      <c r="D426" s="542"/>
      <c r="E426" s="542"/>
      <c r="F426" s="542"/>
      <c r="G426" s="542"/>
      <c r="H426" s="541"/>
      <c r="I426" s="541"/>
      <c r="J426" s="542"/>
      <c r="K426" s="545"/>
      <c r="O426" s="540" t="str">
        <f t="shared" si="193"/>
        <v xml:space="preserve"> </v>
      </c>
    </row>
    <row r="427" spans="1:19" ht="14.25" customHeight="1">
      <c r="C427" s="546" t="s">
        <v>412</v>
      </c>
      <c r="D427" s="542"/>
      <c r="E427" s="542"/>
      <c r="F427" s="542"/>
      <c r="G427" s="542"/>
      <c r="H427" s="541"/>
      <c r="I427" s="541"/>
      <c r="J427" s="542"/>
      <c r="K427" s="545"/>
    </row>
    <row r="429" spans="1:19">
      <c r="C429" s="546" t="s">
        <v>405</v>
      </c>
    </row>
    <row r="430" spans="1:19">
      <c r="C430" s="546" t="s">
        <v>397</v>
      </c>
    </row>
    <row r="431" spans="1:19">
      <c r="C431" s="546"/>
    </row>
    <row r="432" spans="1:19">
      <c r="C432" s="546" t="s">
        <v>404</v>
      </c>
    </row>
    <row r="433" spans="3:3">
      <c r="C433" s="546" t="s">
        <v>398</v>
      </c>
    </row>
    <row r="434" spans="3:3">
      <c r="C434" s="546"/>
    </row>
    <row r="435" spans="3:3">
      <c r="C435" s="546" t="s">
        <v>406</v>
      </c>
    </row>
    <row r="436" spans="3:3">
      <c r="C436" s="546" t="s">
        <v>400</v>
      </c>
    </row>
    <row r="437" spans="3:3">
      <c r="C437" s="546"/>
    </row>
    <row r="438" spans="3:3">
      <c r="C438" s="546" t="s">
        <v>407</v>
      </c>
    </row>
    <row r="439" spans="3:3">
      <c r="C439" s="546" t="s">
        <v>399</v>
      </c>
    </row>
    <row r="440" spans="3:3">
      <c r="C440" s="546"/>
    </row>
    <row r="441" spans="3:3">
      <c r="C441" s="546" t="s">
        <v>409</v>
      </c>
    </row>
    <row r="442" spans="3:3">
      <c r="C442" s="546" t="s">
        <v>402</v>
      </c>
    </row>
    <row r="443" spans="3:3">
      <c r="C443" s="546"/>
    </row>
    <row r="444" spans="3:3">
      <c r="C444" s="546" t="s">
        <v>408</v>
      </c>
    </row>
    <row r="445" spans="3:3">
      <c r="C445" s="546" t="s">
        <v>401</v>
      </c>
    </row>
    <row r="446" spans="3:3">
      <c r="C446" s="546"/>
    </row>
    <row r="447" spans="3:3">
      <c r="C447" s="546" t="s">
        <v>410</v>
      </c>
    </row>
    <row r="448" spans="3:3">
      <c r="C448" s="546" t="s">
        <v>403</v>
      </c>
    </row>
    <row r="449" spans="3:3">
      <c r="C449" s="546"/>
    </row>
    <row r="450" spans="3:3">
      <c r="C450" s="546" t="s">
        <v>385</v>
      </c>
    </row>
    <row r="451" spans="3:3">
      <c r="C451" s="546" t="s">
        <v>371</v>
      </c>
    </row>
    <row r="452" spans="3:3">
      <c r="C452" s="546"/>
    </row>
    <row r="453" spans="3:3">
      <c r="C453" s="546"/>
    </row>
    <row r="454" spans="3:3">
      <c r="C454" s="546"/>
    </row>
    <row r="455" spans="3:3">
      <c r="C455" s="546" t="s">
        <v>390</v>
      </c>
    </row>
    <row r="456" spans="3:3">
      <c r="C456" s="546" t="s">
        <v>378</v>
      </c>
    </row>
    <row r="457" spans="3:3">
      <c r="C457" s="546"/>
    </row>
    <row r="458" spans="3:3">
      <c r="C458" s="546"/>
    </row>
    <row r="459" spans="3:3">
      <c r="C459" s="546" t="s">
        <v>389</v>
      </c>
    </row>
    <row r="460" spans="3:3">
      <c r="C460" s="546" t="s">
        <v>377</v>
      </c>
    </row>
    <row r="461" spans="3:3">
      <c r="C461" s="546"/>
    </row>
    <row r="462" spans="3:3">
      <c r="C462" s="546" t="s">
        <v>391</v>
      </c>
    </row>
    <row r="463" spans="3:3">
      <c r="C463" s="546" t="s">
        <v>379</v>
      </c>
    </row>
    <row r="464" spans="3:3">
      <c r="C464" s="546"/>
    </row>
    <row r="465" spans="3:3">
      <c r="C465" s="546" t="s">
        <v>392</v>
      </c>
    </row>
    <row r="466" spans="3:3">
      <c r="C466" s="546" t="s">
        <v>380</v>
      </c>
    </row>
    <row r="467" spans="3:3">
      <c r="C467" s="546"/>
    </row>
    <row r="468" spans="3:3">
      <c r="C468" s="546" t="s">
        <v>393</v>
      </c>
    </row>
    <row r="469" spans="3:3">
      <c r="C469" s="546" t="s">
        <v>381</v>
      </c>
    </row>
    <row r="470" spans="3:3">
      <c r="C470" s="546"/>
    </row>
    <row r="471" spans="3:3">
      <c r="C471" s="546" t="s">
        <v>394</v>
      </c>
    </row>
    <row r="472" spans="3:3">
      <c r="C472" s="546" t="s">
        <v>382</v>
      </c>
    </row>
    <row r="473" spans="3:3">
      <c r="C473" s="546"/>
    </row>
    <row r="474" spans="3:3">
      <c r="C474" s="546" t="s">
        <v>395</v>
      </c>
    </row>
    <row r="475" spans="3:3">
      <c r="C475" s="546" t="s">
        <v>383</v>
      </c>
    </row>
    <row r="476" spans="3:3">
      <c r="C476" s="546"/>
    </row>
    <row r="477" spans="3:3">
      <c r="C477" s="546" t="s">
        <v>396</v>
      </c>
    </row>
    <row r="478" spans="3:3">
      <c r="C478" s="546" t="s">
        <v>384</v>
      </c>
    </row>
  </sheetData>
  <mergeCells count="3">
    <mergeCell ref="H1:J1"/>
    <mergeCell ref="I2:J2"/>
    <mergeCell ref="M2:N2"/>
  </mergeCells>
  <pageMargins left="0.7" right="0.7" top="0.75" bottom="0.75" header="0.3" footer="0.3"/>
  <pageSetup paperSize="9" orientation="portrait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Лист20"/>
  <dimension ref="A1:T67"/>
  <sheetViews>
    <sheetView topLeftCell="A4" workbookViewId="0">
      <selection sqref="A1:T43"/>
    </sheetView>
  </sheetViews>
  <sheetFormatPr defaultColWidth="9.14453125" defaultRowHeight="14.25"/>
  <cols>
    <col min="1" max="1" width="9.81640625" style="83" customWidth="1"/>
    <col min="2" max="2" width="7.93359375" style="83" customWidth="1"/>
    <col min="3" max="3" width="3.765625" style="83" customWidth="1"/>
    <col min="4" max="5" width="6.1875" style="83" customWidth="1"/>
    <col min="6" max="6" width="4.3046875" style="83" customWidth="1"/>
    <col min="7" max="7" width="10.0859375" style="83" customWidth="1"/>
    <col min="8" max="8" width="10.35546875" style="83" customWidth="1"/>
    <col min="9" max="9" width="11.296875" style="83" customWidth="1"/>
    <col min="10" max="10" width="1.07421875" style="83" customWidth="1"/>
    <col min="11" max="11" width="0.8046875" style="83" customWidth="1"/>
    <col min="12" max="12" width="9.81640625" style="83" customWidth="1"/>
    <col min="13" max="13" width="7.93359375" style="83" customWidth="1"/>
    <col min="14" max="14" width="3.765625" style="83" customWidth="1"/>
    <col min="15" max="16" width="6.1875" style="83" customWidth="1"/>
    <col min="17" max="17" width="4.3046875" style="83" customWidth="1"/>
    <col min="18" max="18" width="10.0859375" style="83" customWidth="1"/>
    <col min="19" max="19" width="10.35546875" style="83" customWidth="1"/>
    <col min="20" max="20" width="11.296875" style="83" customWidth="1"/>
    <col min="21" max="23" width="1.34375" style="83" customWidth="1"/>
    <col min="24" max="25" width="1.4765625" style="83" customWidth="1"/>
    <col min="26" max="27" width="1.61328125" style="83" customWidth="1"/>
    <col min="28" max="16384" width="9.14453125" style="83"/>
  </cols>
  <sheetData>
    <row r="1" spans="1:20" ht="21">
      <c r="A1" s="605"/>
      <c r="B1" s="605"/>
      <c r="C1" s="605"/>
      <c r="D1" s="569"/>
      <c r="E1" s="569"/>
      <c r="F1" s="627" t="s">
        <v>544</v>
      </c>
      <c r="G1" s="569"/>
      <c r="H1" s="569"/>
      <c r="I1" s="569"/>
      <c r="J1" s="628"/>
      <c r="K1" s="605"/>
      <c r="L1" s="605"/>
      <c r="M1" s="605"/>
      <c r="N1" s="605"/>
      <c r="O1" s="569"/>
      <c r="P1" s="569"/>
      <c r="Q1" s="627" t="s">
        <v>544</v>
      </c>
      <c r="R1" s="569"/>
      <c r="S1" s="569"/>
      <c r="T1" s="569"/>
    </row>
    <row r="2" spans="1:20">
      <c r="A2" s="1832" t="s">
        <v>545</v>
      </c>
      <c r="B2" s="1832"/>
      <c r="C2" s="1832"/>
      <c r="D2" s="613"/>
      <c r="E2" s="604"/>
      <c r="F2" s="604"/>
      <c r="G2" s="604"/>
      <c r="H2" s="616" t="s">
        <v>164</v>
      </c>
      <c r="I2" s="616" t="s">
        <v>163</v>
      </c>
      <c r="J2" s="624"/>
      <c r="K2" s="604"/>
      <c r="L2" s="1832" t="s">
        <v>545</v>
      </c>
      <c r="M2" s="1832"/>
      <c r="N2" s="1832"/>
      <c r="O2" s="614"/>
      <c r="P2" s="604"/>
      <c r="Q2" s="604"/>
      <c r="R2" s="604"/>
      <c r="S2" s="616" t="s">
        <v>164</v>
      </c>
      <c r="T2" s="616" t="s">
        <v>163</v>
      </c>
    </row>
    <row r="3" spans="1:20">
      <c r="A3" s="1832"/>
      <c r="B3" s="1832"/>
      <c r="C3" s="1832"/>
      <c r="D3" s="612"/>
      <c r="E3" s="604"/>
      <c r="F3" s="604"/>
      <c r="G3" s="604"/>
      <c r="H3" s="616" t="s">
        <v>162</v>
      </c>
      <c r="I3" s="616" t="s">
        <v>161</v>
      </c>
      <c r="J3" s="624"/>
      <c r="K3" s="604"/>
      <c r="L3" s="1832"/>
      <c r="M3" s="1832"/>
      <c r="N3" s="1832"/>
      <c r="O3" s="604"/>
      <c r="P3" s="604"/>
      <c r="Q3" s="604"/>
      <c r="R3" s="604"/>
      <c r="S3" s="616" t="s">
        <v>162</v>
      </c>
      <c r="T3" s="616" t="s">
        <v>161</v>
      </c>
    </row>
    <row r="4" spans="1:20">
      <c r="A4" s="1835" t="s">
        <v>546</v>
      </c>
      <c r="B4" s="1835"/>
      <c r="C4" s="1835"/>
      <c r="D4" s="100"/>
      <c r="E4" s="603"/>
      <c r="F4" s="604"/>
      <c r="G4" s="604"/>
      <c r="J4" s="624"/>
      <c r="K4" s="604"/>
      <c r="L4" s="1835" t="s">
        <v>546</v>
      </c>
      <c r="M4" s="1835"/>
      <c r="N4" s="1835"/>
      <c r="O4" s="605"/>
      <c r="P4" s="603"/>
      <c r="Q4" s="604"/>
      <c r="R4" s="604"/>
    </row>
    <row r="5" spans="1:20">
      <c r="A5" s="1836"/>
      <c r="B5" s="1836"/>
      <c r="C5" s="1836"/>
      <c r="D5" s="605"/>
      <c r="E5" s="603"/>
      <c r="F5" s="604"/>
      <c r="G5" s="604"/>
      <c r="J5" s="624"/>
      <c r="K5" s="604"/>
      <c r="L5" s="1835"/>
      <c r="M5" s="1835"/>
      <c r="N5" s="1835"/>
      <c r="O5" s="605"/>
      <c r="P5" s="603"/>
      <c r="Q5" s="604"/>
      <c r="R5" s="604"/>
    </row>
    <row r="6" spans="1:20">
      <c r="A6" s="603"/>
      <c r="B6" s="603"/>
      <c r="C6" s="603"/>
      <c r="D6" s="607" t="s">
        <v>6</v>
      </c>
      <c r="E6" s="606"/>
      <c r="F6" s="611"/>
      <c r="G6" s="611"/>
      <c r="H6" s="611"/>
      <c r="I6" s="611"/>
      <c r="J6" s="624"/>
      <c r="K6" s="604"/>
      <c r="L6" s="603"/>
      <c r="M6" s="603"/>
      <c r="N6" s="603"/>
      <c r="O6" s="607" t="s">
        <v>6</v>
      </c>
      <c r="P6" s="606"/>
      <c r="Q6" s="611"/>
      <c r="R6" s="611"/>
      <c r="S6" s="611"/>
      <c r="T6" s="611"/>
    </row>
    <row r="7" spans="1:20" ht="6" customHeight="1">
      <c r="A7" s="603"/>
      <c r="B7" s="603"/>
      <c r="C7" s="603"/>
      <c r="D7" s="603"/>
      <c r="E7" s="603"/>
      <c r="F7" s="604"/>
      <c r="G7" s="604"/>
      <c r="J7" s="624"/>
      <c r="K7" s="604"/>
      <c r="L7" s="603"/>
      <c r="M7" s="603"/>
      <c r="N7" s="603"/>
      <c r="O7" s="603"/>
      <c r="P7" s="603"/>
      <c r="Q7" s="604"/>
      <c r="R7" s="604"/>
    </row>
    <row r="8" spans="1:20">
      <c r="A8" s="596" t="s">
        <v>547</v>
      </c>
      <c r="B8" s="1639" t="s">
        <v>9</v>
      </c>
      <c r="C8" s="1639"/>
      <c r="D8" s="1639"/>
      <c r="E8" s="1639"/>
      <c r="F8" s="1639"/>
      <c r="G8" s="1639"/>
      <c r="H8" s="610" t="s">
        <v>230</v>
      </c>
      <c r="I8" s="596" t="s">
        <v>551</v>
      </c>
      <c r="J8" s="624"/>
      <c r="K8" s="604"/>
      <c r="L8" s="596" t="s">
        <v>547</v>
      </c>
      <c r="M8" s="1639" t="s">
        <v>9</v>
      </c>
      <c r="N8" s="1639"/>
      <c r="O8" s="1639"/>
      <c r="P8" s="1639"/>
      <c r="Q8" s="1639"/>
      <c r="R8" s="1639"/>
      <c r="S8" s="610" t="s">
        <v>230</v>
      </c>
      <c r="T8" s="596" t="s">
        <v>551</v>
      </c>
    </row>
    <row r="9" spans="1:20" ht="18" customHeight="1">
      <c r="A9" s="610"/>
      <c r="B9" s="1837"/>
      <c r="C9" s="1837"/>
      <c r="D9" s="1837"/>
      <c r="E9" s="1837"/>
      <c r="F9" s="1837"/>
      <c r="G9" s="1837"/>
      <c r="H9" s="610"/>
      <c r="I9" s="610"/>
      <c r="J9" s="624"/>
      <c r="K9" s="604"/>
      <c r="L9" s="610"/>
      <c r="M9" s="1837"/>
      <c r="N9" s="1837"/>
      <c r="O9" s="1837"/>
      <c r="P9" s="1837"/>
      <c r="Q9" s="1837"/>
      <c r="R9" s="1837"/>
      <c r="S9" s="610"/>
      <c r="T9" s="610"/>
    </row>
    <row r="10" spans="1:20" ht="18" customHeight="1">
      <c r="A10" s="609"/>
      <c r="B10" s="1836"/>
      <c r="C10" s="1836"/>
      <c r="D10" s="1836"/>
      <c r="E10" s="1836"/>
      <c r="F10" s="1836"/>
      <c r="G10" s="1836"/>
      <c r="H10" s="610"/>
      <c r="I10" s="610"/>
      <c r="J10" s="624"/>
      <c r="K10" s="604"/>
      <c r="L10" s="609"/>
      <c r="M10" s="1836"/>
      <c r="N10" s="1836"/>
      <c r="O10" s="1836"/>
      <c r="P10" s="1836"/>
      <c r="Q10" s="1836"/>
      <c r="R10" s="1836"/>
      <c r="S10" s="610"/>
      <c r="T10" s="610"/>
    </row>
    <row r="11" spans="1:20" ht="18" customHeight="1">
      <c r="A11" s="608"/>
      <c r="B11" s="1834"/>
      <c r="C11" s="1834"/>
      <c r="D11" s="1834"/>
      <c r="E11" s="1834"/>
      <c r="F11" s="1834"/>
      <c r="G11" s="1834"/>
      <c r="H11" s="610"/>
      <c r="I11" s="610"/>
      <c r="J11" s="624"/>
      <c r="K11" s="604"/>
      <c r="L11" s="608"/>
      <c r="M11" s="1834"/>
      <c r="N11" s="1834"/>
      <c r="O11" s="1834"/>
      <c r="P11" s="1834"/>
      <c r="Q11" s="1834"/>
      <c r="R11" s="1834"/>
      <c r="S11" s="610"/>
      <c r="T11" s="610"/>
    </row>
    <row r="12" spans="1:20" ht="18" customHeight="1">
      <c r="A12" s="608"/>
      <c r="B12" s="1834"/>
      <c r="C12" s="1834"/>
      <c r="D12" s="1834"/>
      <c r="E12" s="1834"/>
      <c r="F12" s="1834"/>
      <c r="G12" s="1834"/>
      <c r="H12" s="610"/>
      <c r="I12" s="610"/>
      <c r="J12" s="624"/>
      <c r="K12" s="604"/>
      <c r="L12" s="608"/>
      <c r="M12" s="1834"/>
      <c r="N12" s="1834"/>
      <c r="O12" s="1834"/>
      <c r="P12" s="1834"/>
      <c r="Q12" s="1834"/>
      <c r="R12" s="1834"/>
      <c r="S12" s="610"/>
      <c r="T12" s="610"/>
    </row>
    <row r="13" spans="1:20" ht="6.75" customHeight="1">
      <c r="A13" s="605"/>
      <c r="B13" s="605"/>
      <c r="C13" s="605"/>
      <c r="D13" s="605"/>
      <c r="E13" s="605"/>
      <c r="F13" s="604"/>
      <c r="G13" s="604"/>
      <c r="J13" s="624"/>
      <c r="K13" s="604"/>
      <c r="L13" s="605"/>
      <c r="M13" s="605"/>
      <c r="N13" s="605"/>
      <c r="O13" s="605"/>
      <c r="P13" s="605"/>
      <c r="Q13" s="604"/>
      <c r="R13" s="604"/>
    </row>
    <row r="14" spans="1:20" s="233" customFormat="1" ht="14.25" customHeight="1">
      <c r="A14" s="620" t="s">
        <v>1</v>
      </c>
      <c r="B14" s="620"/>
      <c r="C14" s="620"/>
      <c r="D14" s="620" t="s">
        <v>13</v>
      </c>
      <c r="E14" s="620"/>
      <c r="F14" s="620"/>
      <c r="G14" s="626" t="s">
        <v>14</v>
      </c>
      <c r="H14" s="620"/>
      <c r="I14" s="620"/>
      <c r="J14" s="625"/>
      <c r="K14" s="623"/>
      <c r="L14" s="620" t="s">
        <v>1</v>
      </c>
      <c r="M14" s="620"/>
      <c r="N14" s="620"/>
      <c r="O14" s="620" t="s">
        <v>13</v>
      </c>
      <c r="P14" s="620"/>
      <c r="Q14" s="620"/>
      <c r="R14" s="626" t="s">
        <v>14</v>
      </c>
      <c r="S14" s="620"/>
      <c r="T14" s="620"/>
    </row>
    <row r="15" spans="1:20" ht="11.25" customHeight="1">
      <c r="A15" s="1545" t="s">
        <v>549</v>
      </c>
      <c r="B15" s="1545"/>
      <c r="C15" s="1545"/>
      <c r="D15" s="1545"/>
      <c r="E15" s="1545"/>
      <c r="F15" s="1545"/>
      <c r="G15" s="1545"/>
      <c r="H15" s="1545"/>
      <c r="I15" s="1545"/>
      <c r="J15" s="624"/>
      <c r="K15" s="604"/>
      <c r="L15" s="1545" t="s">
        <v>549</v>
      </c>
      <c r="M15" s="1545"/>
      <c r="N15" s="1545"/>
      <c r="O15" s="1545"/>
      <c r="P15" s="1545"/>
      <c r="Q15" s="1545"/>
      <c r="R15" s="1545"/>
      <c r="S15" s="1545"/>
      <c r="T15" s="1545"/>
    </row>
    <row r="16" spans="1:20" ht="14.25" customHeight="1">
      <c r="A16" s="604"/>
      <c r="B16" s="604"/>
      <c r="C16" s="1833"/>
      <c r="D16" s="1833"/>
      <c r="E16" s="1833"/>
      <c r="F16" s="1833"/>
      <c r="G16" s="1833"/>
      <c r="J16" s="624"/>
      <c r="K16" s="604"/>
      <c r="L16" s="604"/>
      <c r="M16" s="604"/>
      <c r="N16" s="1833"/>
      <c r="O16" s="1833"/>
      <c r="P16" s="1833"/>
      <c r="Q16" s="1833"/>
      <c r="R16" s="1833"/>
    </row>
    <row r="17" spans="1:20" ht="10.5" customHeight="1">
      <c r="A17" s="605"/>
      <c r="B17" s="605"/>
      <c r="C17" s="1545" t="s">
        <v>550</v>
      </c>
      <c r="D17" s="1545"/>
      <c r="E17" s="1545"/>
      <c r="F17" s="1545"/>
      <c r="G17" s="1545"/>
      <c r="J17" s="624"/>
      <c r="K17" s="604"/>
      <c r="L17" s="605"/>
      <c r="M17" s="605"/>
      <c r="N17" s="1545" t="s">
        <v>550</v>
      </c>
      <c r="O17" s="1545"/>
      <c r="P17" s="1545"/>
      <c r="Q17" s="1545"/>
      <c r="R17" s="1545"/>
    </row>
    <row r="18" spans="1:20">
      <c r="A18" s="609" t="s">
        <v>548</v>
      </c>
      <c r="B18" s="608"/>
      <c r="C18" s="605"/>
      <c r="D18" s="605"/>
      <c r="E18" s="604"/>
      <c r="F18" s="604"/>
      <c r="G18" s="604"/>
      <c r="H18" s="596" t="s">
        <v>16</v>
      </c>
      <c r="I18" s="610"/>
      <c r="J18" s="624"/>
      <c r="K18" s="604"/>
      <c r="L18" s="609" t="s">
        <v>548</v>
      </c>
      <c r="M18" s="608"/>
      <c r="N18" s="605"/>
      <c r="O18" s="605"/>
      <c r="P18" s="604"/>
      <c r="Q18" s="604"/>
      <c r="R18" s="604"/>
      <c r="S18" s="596" t="s">
        <v>16</v>
      </c>
      <c r="T18" s="610"/>
    </row>
    <row r="19" spans="1:20">
      <c r="A19" s="609" t="s">
        <v>55</v>
      </c>
      <c r="B19" s="608"/>
      <c r="C19" s="605"/>
      <c r="D19" s="605"/>
      <c r="E19" s="604"/>
      <c r="F19" s="604"/>
      <c r="G19" s="604"/>
      <c r="H19" s="596" t="s">
        <v>18</v>
      </c>
      <c r="I19" s="610"/>
      <c r="J19" s="624"/>
      <c r="K19" s="604"/>
      <c r="L19" s="609" t="s">
        <v>55</v>
      </c>
      <c r="M19" s="608"/>
      <c r="N19" s="605"/>
      <c r="O19" s="605"/>
      <c r="P19" s="604"/>
      <c r="Q19" s="604"/>
      <c r="R19" s="604"/>
      <c r="S19" s="596" t="s">
        <v>18</v>
      </c>
      <c r="T19" s="610"/>
    </row>
    <row r="20" spans="1:20" ht="5.25" customHeight="1">
      <c r="A20" s="605"/>
      <c r="B20" s="605"/>
      <c r="C20" s="605"/>
      <c r="D20" s="605"/>
      <c r="E20" s="604"/>
      <c r="F20" s="604"/>
      <c r="G20" s="604"/>
      <c r="J20" s="624"/>
      <c r="K20" s="604"/>
      <c r="L20" s="605"/>
      <c r="M20" s="605"/>
      <c r="N20" s="605"/>
      <c r="O20" s="605"/>
      <c r="P20" s="604"/>
      <c r="Q20" s="604"/>
      <c r="R20" s="604"/>
    </row>
    <row r="21" spans="1:20" ht="5.25" customHeight="1" thickBot="1">
      <c r="A21" s="621"/>
      <c r="B21" s="621"/>
      <c r="C21" s="622"/>
      <c r="D21" s="622"/>
      <c r="E21" s="622"/>
      <c r="F21" s="622"/>
      <c r="G21" s="622"/>
      <c r="H21" s="622"/>
      <c r="I21" s="622"/>
      <c r="J21" s="617"/>
      <c r="K21" s="615"/>
      <c r="L21" s="621"/>
      <c r="M21" s="621"/>
      <c r="N21" s="622"/>
      <c r="O21" s="622"/>
      <c r="P21" s="622"/>
      <c r="Q21" s="622"/>
      <c r="R21" s="622"/>
      <c r="S21" s="622"/>
      <c r="T21" s="622"/>
    </row>
    <row r="22" spans="1:20" ht="5.25" customHeight="1">
      <c r="A22" s="604"/>
      <c r="B22" s="604"/>
      <c r="C22" s="604"/>
      <c r="D22" s="604"/>
      <c r="E22" s="604"/>
      <c r="F22" s="604"/>
      <c r="G22" s="604"/>
      <c r="J22" s="618"/>
      <c r="K22" s="619"/>
      <c r="L22" s="604"/>
      <c r="M22" s="604"/>
      <c r="N22" s="604"/>
      <c r="O22" s="604"/>
      <c r="P22" s="604"/>
      <c r="Q22" s="604"/>
      <c r="R22" s="604"/>
      <c r="S22" s="604"/>
      <c r="T22" s="604"/>
    </row>
    <row r="23" spans="1:20" ht="21">
      <c r="A23" s="604"/>
      <c r="B23" s="604"/>
      <c r="C23" s="604"/>
      <c r="F23" s="597" t="s">
        <v>544</v>
      </c>
      <c r="J23" s="624"/>
      <c r="K23" s="604"/>
      <c r="L23" s="604"/>
      <c r="M23" s="604"/>
      <c r="N23" s="604"/>
      <c r="Q23" s="597" t="s">
        <v>544</v>
      </c>
    </row>
    <row r="24" spans="1:20">
      <c r="A24" s="1832" t="s">
        <v>545</v>
      </c>
      <c r="B24" s="1832"/>
      <c r="C24" s="1832"/>
      <c r="D24" s="613"/>
      <c r="E24" s="604"/>
      <c r="F24" s="604"/>
      <c r="G24" s="604"/>
      <c r="H24" s="616" t="s">
        <v>164</v>
      </c>
      <c r="I24" s="616" t="s">
        <v>163</v>
      </c>
      <c r="J24" s="624"/>
      <c r="K24" s="604"/>
      <c r="L24" s="1832" t="s">
        <v>545</v>
      </c>
      <c r="M24" s="1832"/>
      <c r="N24" s="1832"/>
      <c r="O24" s="614"/>
      <c r="P24" s="604"/>
      <c r="Q24" s="604"/>
      <c r="R24" s="604"/>
      <c r="S24" s="616" t="s">
        <v>164</v>
      </c>
      <c r="T24" s="616" t="s">
        <v>163</v>
      </c>
    </row>
    <row r="25" spans="1:20">
      <c r="A25" s="1832"/>
      <c r="B25" s="1832"/>
      <c r="C25" s="1832"/>
      <c r="D25" s="612"/>
      <c r="E25" s="604"/>
      <c r="F25" s="604"/>
      <c r="G25" s="604"/>
      <c r="H25" s="616" t="s">
        <v>162</v>
      </c>
      <c r="I25" s="616" t="s">
        <v>161</v>
      </c>
      <c r="J25" s="624"/>
      <c r="K25" s="604"/>
      <c r="L25" s="1832"/>
      <c r="M25" s="1832"/>
      <c r="N25" s="1832"/>
      <c r="O25" s="604"/>
      <c r="P25" s="604"/>
      <c r="Q25" s="604"/>
      <c r="R25" s="604"/>
      <c r="S25" s="616" t="s">
        <v>162</v>
      </c>
      <c r="T25" s="616" t="s">
        <v>161</v>
      </c>
    </row>
    <row r="26" spans="1:20">
      <c r="A26" s="1835" t="s">
        <v>546</v>
      </c>
      <c r="B26" s="1835"/>
      <c r="C26" s="1835"/>
      <c r="D26" s="100"/>
      <c r="E26" s="603"/>
      <c r="F26" s="604"/>
      <c r="G26" s="604"/>
      <c r="J26" s="624"/>
      <c r="K26" s="604"/>
      <c r="L26" s="1835" t="s">
        <v>546</v>
      </c>
      <c r="M26" s="1835"/>
      <c r="N26" s="1835"/>
      <c r="O26" s="605"/>
      <c r="P26" s="603"/>
      <c r="Q26" s="604"/>
      <c r="R26" s="604"/>
    </row>
    <row r="27" spans="1:20">
      <c r="A27" s="1836"/>
      <c r="B27" s="1836"/>
      <c r="C27" s="1836"/>
      <c r="D27" s="605"/>
      <c r="E27" s="603"/>
      <c r="F27" s="604"/>
      <c r="G27" s="604"/>
      <c r="J27" s="624"/>
      <c r="K27" s="604"/>
      <c r="L27" s="1835"/>
      <c r="M27" s="1835"/>
      <c r="N27" s="1835"/>
      <c r="O27" s="605"/>
      <c r="P27" s="603"/>
      <c r="Q27" s="604"/>
      <c r="R27" s="604"/>
    </row>
    <row r="28" spans="1:20">
      <c r="A28" s="603"/>
      <c r="B28" s="603"/>
      <c r="C28" s="603"/>
      <c r="D28" s="607" t="s">
        <v>6</v>
      </c>
      <c r="E28" s="606"/>
      <c r="F28" s="611"/>
      <c r="G28" s="611"/>
      <c r="H28" s="611"/>
      <c r="I28" s="611"/>
      <c r="J28" s="624"/>
      <c r="K28" s="604"/>
      <c r="L28" s="603"/>
      <c r="M28" s="603"/>
      <c r="N28" s="603"/>
      <c r="O28" s="607" t="s">
        <v>6</v>
      </c>
      <c r="P28" s="606"/>
      <c r="Q28" s="611"/>
      <c r="R28" s="611"/>
      <c r="S28" s="611"/>
      <c r="T28" s="611"/>
    </row>
    <row r="29" spans="1:20" ht="6.75" customHeight="1">
      <c r="A29" s="603"/>
      <c r="B29" s="603"/>
      <c r="C29" s="603"/>
      <c r="D29" s="603"/>
      <c r="E29" s="603"/>
      <c r="F29" s="604"/>
      <c r="G29" s="604"/>
      <c r="J29" s="624"/>
      <c r="K29" s="604"/>
      <c r="L29" s="603"/>
      <c r="M29" s="603"/>
      <c r="N29" s="603"/>
      <c r="O29" s="603"/>
      <c r="P29" s="603"/>
      <c r="Q29" s="604"/>
      <c r="R29" s="604"/>
    </row>
    <row r="30" spans="1:20">
      <c r="A30" s="596" t="s">
        <v>547</v>
      </c>
      <c r="B30" s="1639" t="s">
        <v>9</v>
      </c>
      <c r="C30" s="1639"/>
      <c r="D30" s="1639"/>
      <c r="E30" s="1639"/>
      <c r="F30" s="1639"/>
      <c r="G30" s="1639"/>
      <c r="H30" s="610" t="s">
        <v>230</v>
      </c>
      <c r="I30" s="596" t="s">
        <v>551</v>
      </c>
      <c r="J30" s="624"/>
      <c r="K30" s="604"/>
      <c r="L30" s="596" t="s">
        <v>547</v>
      </c>
      <c r="M30" s="1639" t="s">
        <v>9</v>
      </c>
      <c r="N30" s="1639"/>
      <c r="O30" s="1639"/>
      <c r="P30" s="1639"/>
      <c r="Q30" s="1639"/>
      <c r="R30" s="1639"/>
      <c r="S30" s="610" t="s">
        <v>230</v>
      </c>
      <c r="T30" s="596" t="s">
        <v>551</v>
      </c>
    </row>
    <row r="31" spans="1:20" ht="18" customHeight="1">
      <c r="A31" s="610"/>
      <c r="B31" s="1837"/>
      <c r="C31" s="1837"/>
      <c r="D31" s="1837"/>
      <c r="E31" s="1837"/>
      <c r="F31" s="1837"/>
      <c r="G31" s="1837"/>
      <c r="H31" s="610"/>
      <c r="I31" s="610"/>
      <c r="J31" s="624"/>
      <c r="K31" s="604"/>
      <c r="L31" s="610"/>
      <c r="M31" s="1837"/>
      <c r="N31" s="1837"/>
      <c r="O31" s="1837"/>
      <c r="P31" s="1837"/>
      <c r="Q31" s="1837"/>
      <c r="R31" s="1837"/>
      <c r="S31" s="610"/>
      <c r="T31" s="610"/>
    </row>
    <row r="32" spans="1:20" ht="18" customHeight="1">
      <c r="A32" s="609"/>
      <c r="B32" s="1836"/>
      <c r="C32" s="1836"/>
      <c r="D32" s="1836"/>
      <c r="E32" s="1836"/>
      <c r="F32" s="1836"/>
      <c r="G32" s="1836"/>
      <c r="H32" s="610"/>
      <c r="I32" s="610"/>
      <c r="J32" s="624"/>
      <c r="K32" s="604"/>
      <c r="L32" s="609"/>
      <c r="M32" s="1836"/>
      <c r="N32" s="1836"/>
      <c r="O32" s="1836"/>
      <c r="P32" s="1836"/>
      <c r="Q32" s="1836"/>
      <c r="R32" s="1836"/>
      <c r="S32" s="610"/>
      <c r="T32" s="610"/>
    </row>
    <row r="33" spans="1:20" ht="18" customHeight="1">
      <c r="A33" s="608"/>
      <c r="B33" s="1834"/>
      <c r="C33" s="1834"/>
      <c r="D33" s="1834"/>
      <c r="E33" s="1834"/>
      <c r="F33" s="1834"/>
      <c r="G33" s="1834"/>
      <c r="H33" s="610"/>
      <c r="I33" s="610"/>
      <c r="J33" s="624"/>
      <c r="K33" s="604"/>
      <c r="L33" s="608"/>
      <c r="M33" s="1834"/>
      <c r="N33" s="1834"/>
      <c r="O33" s="1834"/>
      <c r="P33" s="1834"/>
      <c r="Q33" s="1834"/>
      <c r="R33" s="1834"/>
      <c r="S33" s="610"/>
      <c r="T33" s="610"/>
    </row>
    <row r="34" spans="1:20" ht="18" customHeight="1">
      <c r="A34" s="608"/>
      <c r="B34" s="1834"/>
      <c r="C34" s="1834"/>
      <c r="D34" s="1834"/>
      <c r="E34" s="1834"/>
      <c r="F34" s="1834"/>
      <c r="G34" s="1834"/>
      <c r="H34" s="610"/>
      <c r="I34" s="610"/>
      <c r="J34" s="624"/>
      <c r="K34" s="604"/>
      <c r="L34" s="608"/>
      <c r="M34" s="1834"/>
      <c r="N34" s="1834"/>
      <c r="O34" s="1834"/>
      <c r="P34" s="1834"/>
      <c r="Q34" s="1834"/>
      <c r="R34" s="1834"/>
      <c r="S34" s="610"/>
      <c r="T34" s="610"/>
    </row>
    <row r="35" spans="1:20" ht="6.75" customHeight="1">
      <c r="A35" s="605"/>
      <c r="B35" s="605"/>
      <c r="C35" s="605"/>
      <c r="D35" s="605"/>
      <c r="E35" s="605"/>
      <c r="F35" s="604"/>
      <c r="G35" s="604"/>
      <c r="J35" s="624"/>
      <c r="K35" s="604"/>
      <c r="L35" s="605"/>
      <c r="M35" s="605"/>
      <c r="N35" s="605"/>
      <c r="O35" s="605"/>
      <c r="P35" s="605"/>
      <c r="Q35" s="604"/>
      <c r="R35" s="604"/>
    </row>
    <row r="36" spans="1:20" s="233" customFormat="1" ht="14.25" customHeight="1">
      <c r="A36" s="620" t="s">
        <v>1</v>
      </c>
      <c r="B36" s="620"/>
      <c r="C36" s="620"/>
      <c r="D36" s="620" t="s">
        <v>13</v>
      </c>
      <c r="E36" s="620"/>
      <c r="F36" s="620"/>
      <c r="G36" s="626" t="s">
        <v>14</v>
      </c>
      <c r="H36" s="620"/>
      <c r="I36" s="620"/>
      <c r="J36" s="625"/>
      <c r="K36" s="623"/>
      <c r="L36" s="620" t="s">
        <v>1</v>
      </c>
      <c r="M36" s="620"/>
      <c r="N36" s="620"/>
      <c r="O36" s="620" t="s">
        <v>13</v>
      </c>
      <c r="P36" s="620"/>
      <c r="Q36" s="620"/>
      <c r="R36" s="626" t="s">
        <v>14</v>
      </c>
      <c r="S36" s="620"/>
      <c r="T36" s="620"/>
    </row>
    <row r="37" spans="1:20" ht="11.25" customHeight="1">
      <c r="A37" s="1545" t="s">
        <v>549</v>
      </c>
      <c r="B37" s="1545"/>
      <c r="C37" s="1545"/>
      <c r="D37" s="1545"/>
      <c r="E37" s="1545"/>
      <c r="F37" s="1545"/>
      <c r="G37" s="1545"/>
      <c r="H37" s="1545"/>
      <c r="I37" s="1545"/>
      <c r="J37" s="624"/>
      <c r="K37" s="604"/>
      <c r="L37" s="1545" t="s">
        <v>549</v>
      </c>
      <c r="M37" s="1545"/>
      <c r="N37" s="1545"/>
      <c r="O37" s="1545"/>
      <c r="P37" s="1545"/>
      <c r="Q37" s="1545"/>
      <c r="R37" s="1545"/>
      <c r="S37" s="1545"/>
      <c r="T37" s="1545"/>
    </row>
    <row r="38" spans="1:20" ht="14.25" customHeight="1">
      <c r="A38" s="604"/>
      <c r="B38" s="604"/>
      <c r="C38" s="1833"/>
      <c r="D38" s="1833"/>
      <c r="E38" s="1833"/>
      <c r="F38" s="1833"/>
      <c r="G38" s="1833"/>
      <c r="J38" s="624"/>
      <c r="K38" s="604"/>
      <c r="L38" s="604"/>
      <c r="M38" s="604"/>
      <c r="N38" s="1833"/>
      <c r="O38" s="1833"/>
      <c r="P38" s="1833"/>
      <c r="Q38" s="1833"/>
      <c r="R38" s="1833"/>
    </row>
    <row r="39" spans="1:20" ht="10.5" customHeight="1">
      <c r="A39" s="605"/>
      <c r="B39" s="605"/>
      <c r="C39" s="1545" t="s">
        <v>550</v>
      </c>
      <c r="D39" s="1545"/>
      <c r="E39" s="1545"/>
      <c r="F39" s="1545"/>
      <c r="G39" s="1545"/>
      <c r="J39" s="624"/>
      <c r="K39" s="604"/>
      <c r="L39" s="605"/>
      <c r="M39" s="605"/>
      <c r="N39" s="1545" t="s">
        <v>550</v>
      </c>
      <c r="O39" s="1545"/>
      <c r="P39" s="1545"/>
      <c r="Q39" s="1545"/>
      <c r="R39" s="1545"/>
    </row>
    <row r="40" spans="1:20">
      <c r="A40" s="609" t="s">
        <v>548</v>
      </c>
      <c r="B40" s="608"/>
      <c r="C40" s="605"/>
      <c r="D40" s="605"/>
      <c r="E40" s="604"/>
      <c r="F40" s="604"/>
      <c r="G40" s="604"/>
      <c r="H40" s="596" t="s">
        <v>16</v>
      </c>
      <c r="I40" s="610"/>
      <c r="J40" s="624"/>
      <c r="K40" s="604"/>
      <c r="L40" s="609" t="s">
        <v>548</v>
      </c>
      <c r="M40" s="608"/>
      <c r="N40" s="605"/>
      <c r="O40" s="605"/>
      <c r="P40" s="604"/>
      <c r="Q40" s="604"/>
      <c r="R40" s="604"/>
      <c r="S40" s="596" t="s">
        <v>16</v>
      </c>
      <c r="T40" s="610"/>
    </row>
    <row r="41" spans="1:20">
      <c r="A41" s="609" t="s">
        <v>55</v>
      </c>
      <c r="B41" s="608"/>
      <c r="C41" s="605"/>
      <c r="D41" s="605"/>
      <c r="E41" s="604"/>
      <c r="F41" s="604"/>
      <c r="G41" s="604"/>
      <c r="H41" s="596" t="s">
        <v>18</v>
      </c>
      <c r="I41" s="610"/>
      <c r="J41" s="624"/>
      <c r="K41" s="604"/>
      <c r="L41" s="609" t="s">
        <v>55</v>
      </c>
      <c r="M41" s="608"/>
      <c r="N41" s="605"/>
      <c r="O41" s="605"/>
      <c r="P41" s="604"/>
      <c r="Q41" s="604"/>
      <c r="R41" s="604"/>
      <c r="S41" s="596" t="s">
        <v>18</v>
      </c>
      <c r="T41" s="610"/>
    </row>
    <row r="42" spans="1:20" ht="4.5" customHeight="1"/>
    <row r="43" spans="1:20" ht="4.5" customHeight="1"/>
    <row r="44" spans="1:20" ht="4.5" customHeight="1"/>
    <row r="45" spans="1:20" ht="4.5" customHeight="1"/>
    <row r="46" spans="1:20" ht="4.5" customHeight="1"/>
    <row r="47" spans="1:20" ht="4.5" customHeight="1"/>
    <row r="48" spans="1:20" ht="4.5" customHeight="1"/>
    <row r="49" ht="4.5" customHeight="1"/>
    <row r="50" ht="4.5" customHeight="1"/>
    <row r="51" ht="4.5" customHeight="1"/>
    <row r="52" ht="4.5" customHeight="1"/>
    <row r="53" ht="4.5" customHeight="1"/>
    <row r="54" ht="4.5" customHeight="1"/>
    <row r="55" ht="4.5" customHeight="1"/>
    <row r="56" ht="4.5" customHeight="1"/>
    <row r="57" ht="4.5" customHeight="1"/>
    <row r="58" ht="4.5" customHeight="1"/>
    <row r="59" ht="4.5" customHeight="1"/>
    <row r="60" ht="4.5" customHeight="1"/>
    <row r="61" ht="4.5" customHeight="1"/>
    <row r="62" ht="4.5" customHeight="1"/>
    <row r="63" ht="4.5" customHeight="1"/>
    <row r="64" ht="4.5" customHeight="1"/>
    <row r="65" ht="4.5" customHeight="1"/>
    <row r="66" ht="4.5" customHeight="1"/>
    <row r="67" ht="4.5" customHeight="1"/>
  </sheetData>
  <mergeCells count="48">
    <mergeCell ref="M31:R31"/>
    <mergeCell ref="M32:R32"/>
    <mergeCell ref="M33:R33"/>
    <mergeCell ref="M34:R34"/>
    <mergeCell ref="B8:G8"/>
    <mergeCell ref="B9:G9"/>
    <mergeCell ref="B10:G10"/>
    <mergeCell ref="B11:G11"/>
    <mergeCell ref="B12:G12"/>
    <mergeCell ref="B30:G30"/>
    <mergeCell ref="A25:C25"/>
    <mergeCell ref="L25:N25"/>
    <mergeCell ref="B33:G33"/>
    <mergeCell ref="B34:G34"/>
    <mergeCell ref="B31:G31"/>
    <mergeCell ref="B32:G32"/>
    <mergeCell ref="A24:C24"/>
    <mergeCell ref="L24:N24"/>
    <mergeCell ref="M8:R8"/>
    <mergeCell ref="M9:R9"/>
    <mergeCell ref="M10:R10"/>
    <mergeCell ref="A37:I37"/>
    <mergeCell ref="L37:T37"/>
    <mergeCell ref="C38:G38"/>
    <mergeCell ref="N38:R38"/>
    <mergeCell ref="C39:G39"/>
    <mergeCell ref="N39:R39"/>
    <mergeCell ref="A27:C27"/>
    <mergeCell ref="L27:N27"/>
    <mergeCell ref="M30:R30"/>
    <mergeCell ref="A26:C26"/>
    <mergeCell ref="L26:N26"/>
    <mergeCell ref="L2:N2"/>
    <mergeCell ref="C16:G16"/>
    <mergeCell ref="C17:G17"/>
    <mergeCell ref="N16:R16"/>
    <mergeCell ref="N17:R17"/>
    <mergeCell ref="A15:I15"/>
    <mergeCell ref="L15:T15"/>
    <mergeCell ref="M12:R12"/>
    <mergeCell ref="M11:R11"/>
    <mergeCell ref="A2:C2"/>
    <mergeCell ref="A4:C4"/>
    <mergeCell ref="L3:N3"/>
    <mergeCell ref="L4:N4"/>
    <mergeCell ref="L5:N5"/>
    <mergeCell ref="A3:C3"/>
    <mergeCell ref="A5:C5"/>
  </mergeCells>
  <pageMargins left="0.23622047244094491" right="0.23622047244094491" top="0.23622047244094491" bottom="0.23622047244094491" header="0" footer="0"/>
  <pageSetup paperSize="9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759"/>
  <sheetViews>
    <sheetView view="pageLayout" topLeftCell="A735" workbookViewId="0">
      <selection activeCell="R751" sqref="R751"/>
    </sheetView>
  </sheetViews>
  <sheetFormatPr defaultRowHeight="15"/>
  <cols>
    <col min="1" max="1" width="2.95703125" customWidth="1"/>
    <col min="2" max="2" width="6.58984375" customWidth="1"/>
    <col min="3" max="3" width="18.6953125" customWidth="1"/>
    <col min="4" max="4" width="13.71875" customWidth="1"/>
    <col min="5" max="5" width="6.72265625" customWidth="1"/>
    <col min="6" max="6" width="18.96484375" customWidth="1"/>
    <col min="7" max="7" width="6.05078125" customWidth="1"/>
    <col min="8" max="8" width="6.45703125" customWidth="1"/>
    <col min="9" max="9" width="7.80078125" customWidth="1"/>
    <col min="10" max="10" width="7.12890625" customWidth="1"/>
    <col min="11" max="11" width="5.109375" customWidth="1"/>
    <col min="12" max="14" width="0.671875" customWidth="1"/>
  </cols>
  <sheetData>
    <row r="1" spans="1:11" s="1254" customFormat="1">
      <c r="A1" s="1504"/>
      <c r="B1" s="1504"/>
      <c r="C1" s="1504"/>
      <c r="D1" s="1504"/>
      <c r="E1" s="1504"/>
      <c r="F1" s="1504"/>
      <c r="G1" s="1504"/>
      <c r="H1" s="1504"/>
      <c r="I1" s="1504"/>
      <c r="J1" s="1504"/>
      <c r="K1" s="1504"/>
    </row>
    <row r="2" spans="1:11" s="1254" customFormat="1">
      <c r="A2" s="1504"/>
      <c r="B2" s="1504"/>
      <c r="C2" s="1504"/>
      <c r="D2" s="1504"/>
      <c r="E2" s="1504"/>
      <c r="F2" s="1504"/>
      <c r="G2" s="1504"/>
      <c r="H2" s="1504"/>
      <c r="I2" s="1504"/>
      <c r="J2" s="1504"/>
      <c r="K2" s="1504"/>
    </row>
    <row r="3" spans="1:11" s="1254" customFormat="1">
      <c r="A3" s="1504"/>
      <c r="B3" s="1504"/>
      <c r="C3" s="1504"/>
      <c r="D3" s="1504"/>
      <c r="E3" s="1504"/>
      <c r="F3" s="1504"/>
      <c r="G3" s="1504"/>
      <c r="H3" s="1504"/>
      <c r="I3" s="1504"/>
      <c r="J3" s="1504"/>
      <c r="K3" s="1504"/>
    </row>
    <row r="4" spans="1:11" s="1254" customFormat="1" ht="12.75" customHeight="1">
      <c r="A4" s="533"/>
      <c r="B4" s="1216"/>
      <c r="C4" s="1216"/>
      <c r="D4" s="531"/>
      <c r="E4" s="586"/>
      <c r="F4" s="1216"/>
      <c r="G4" s="1216"/>
      <c r="H4" s="528"/>
      <c r="I4" s="528"/>
      <c r="J4" s="531"/>
      <c r="K4" s="558"/>
    </row>
    <row r="5" spans="1:11" s="1254" customFormat="1" ht="12.75" customHeight="1">
      <c r="A5" s="533"/>
      <c r="B5" s="1216"/>
      <c r="C5" s="1216"/>
      <c r="D5" s="531"/>
      <c r="E5" s="586"/>
      <c r="F5" s="1216"/>
      <c r="G5" s="1216"/>
      <c r="H5" s="528"/>
      <c r="I5" s="528"/>
      <c r="J5" s="531"/>
      <c r="K5" s="558"/>
    </row>
    <row r="6" spans="1:11" s="1254" customFormat="1" ht="12.75" customHeight="1">
      <c r="A6" s="533"/>
      <c r="B6" s="1216"/>
      <c r="C6" s="1216"/>
      <c r="D6" s="531"/>
      <c r="E6" s="586"/>
      <c r="F6" s="1216"/>
      <c r="G6" s="1216"/>
      <c r="H6" s="528"/>
      <c r="I6" s="528"/>
      <c r="J6" s="531"/>
      <c r="K6" s="558"/>
    </row>
    <row r="7" spans="1:11" s="1254" customFormat="1" ht="12.75" customHeight="1">
      <c r="A7" s="533"/>
      <c r="B7" s="1216"/>
      <c r="C7" s="1216"/>
      <c r="D7" s="531"/>
      <c r="E7" s="586"/>
      <c r="F7" s="1216"/>
      <c r="G7" s="1216"/>
      <c r="H7" s="528"/>
      <c r="I7" s="528"/>
      <c r="J7" s="531"/>
      <c r="K7" s="558"/>
    </row>
    <row r="8" spans="1:11" s="1254" customFormat="1" ht="12.75" customHeight="1">
      <c r="A8" s="533"/>
      <c r="B8" s="1216"/>
      <c r="C8" s="1216"/>
      <c r="D8" s="531"/>
      <c r="E8" s="586"/>
      <c r="F8" s="1216"/>
      <c r="G8" s="1216"/>
      <c r="H8" s="528"/>
      <c r="I8" s="528"/>
      <c r="J8" s="531"/>
      <c r="K8" s="558"/>
    </row>
    <row r="9" spans="1:11" s="1254" customFormat="1" ht="12.75" customHeight="1">
      <c r="A9" s="533"/>
      <c r="B9" s="1216"/>
      <c r="C9" s="1216"/>
      <c r="D9" s="531"/>
      <c r="E9" s="586"/>
      <c r="F9" s="1216"/>
      <c r="G9" s="1216"/>
      <c r="H9" s="528"/>
      <c r="I9" s="528"/>
      <c r="J9" s="531"/>
      <c r="K9" s="558"/>
    </row>
    <row r="10" spans="1:11" s="1254" customFormat="1" ht="12.75" customHeight="1">
      <c r="A10" s="533"/>
      <c r="B10" s="1216"/>
      <c r="C10" s="1216"/>
      <c r="D10" s="531"/>
      <c r="E10" s="586"/>
      <c r="F10" s="1216"/>
      <c r="G10" s="1216"/>
      <c r="H10" s="528"/>
      <c r="I10" s="528"/>
      <c r="J10" s="531"/>
      <c r="K10" s="558"/>
    </row>
    <row r="11" spans="1:11" s="1254" customFormat="1" ht="12.75" customHeight="1">
      <c r="A11" s="1216"/>
      <c r="B11" s="1216"/>
      <c r="C11" s="1216"/>
      <c r="D11" s="1216"/>
      <c r="E11" s="1216"/>
      <c r="F11" s="1216"/>
      <c r="G11" s="1216"/>
      <c r="H11" s="1216"/>
      <c r="I11" s="1216"/>
      <c r="J11" s="1216"/>
      <c r="K11" s="1216"/>
    </row>
    <row r="12" spans="1:11" s="1254" customFormat="1" ht="12.75" customHeight="1">
      <c r="A12" s="1216"/>
      <c r="B12" s="1216"/>
      <c r="C12" s="1216"/>
      <c r="D12" s="1216"/>
      <c r="E12" s="1216"/>
      <c r="F12" s="1216"/>
      <c r="G12" s="1216"/>
      <c r="H12" s="1216"/>
      <c r="I12" s="1216"/>
      <c r="J12" s="1216"/>
      <c r="K12" s="1216"/>
    </row>
    <row r="13" spans="1:11" s="1254" customFormat="1" ht="12.75" customHeight="1">
      <c r="A13" s="1216"/>
      <c r="B13" s="1216"/>
      <c r="C13" s="1216"/>
      <c r="D13" s="1216"/>
      <c r="E13" s="1216"/>
      <c r="F13" s="1216"/>
      <c r="G13" s="1216"/>
      <c r="H13" s="1216"/>
      <c r="I13" s="1216"/>
      <c r="J13" s="1216"/>
      <c r="K13" s="1216"/>
    </row>
    <row r="14" spans="1:11" s="1254" customFormat="1" ht="12.75" customHeight="1">
      <c r="A14" s="1216"/>
      <c r="B14" s="1216"/>
      <c r="C14" s="1216"/>
      <c r="D14" s="1216"/>
      <c r="E14" s="1216"/>
      <c r="F14" s="1216"/>
      <c r="G14" s="1216"/>
      <c r="H14" s="1216"/>
      <c r="I14" s="1216"/>
      <c r="J14" s="1216"/>
      <c r="K14" s="1216"/>
    </row>
    <row r="15" spans="1:11" s="1254" customFormat="1" ht="12.75" customHeight="1">
      <c r="A15" s="1216"/>
      <c r="B15" s="1216"/>
      <c r="C15" s="1216"/>
      <c r="D15" s="1216"/>
      <c r="E15" s="1216"/>
      <c r="F15" s="1216"/>
      <c r="G15" s="1216"/>
      <c r="H15" s="1216"/>
      <c r="I15" s="1216"/>
      <c r="J15" s="1216"/>
      <c r="K15" s="1216"/>
    </row>
    <row r="16" spans="1:11" s="1254" customFormat="1" ht="12.75" customHeight="1">
      <c r="A16" s="533"/>
      <c r="B16" s="1216"/>
      <c r="C16" s="1216"/>
      <c r="D16" s="531"/>
      <c r="E16" s="586"/>
      <c r="F16" s="1216"/>
      <c r="G16" s="1216"/>
      <c r="H16" s="528"/>
      <c r="I16" s="528"/>
      <c r="J16" s="531"/>
      <c r="K16" s="558"/>
    </row>
    <row r="17" spans="1:11" s="1254" customFormat="1" ht="12.75" customHeight="1">
      <c r="A17" s="1216"/>
      <c r="B17" s="1216"/>
      <c r="C17" s="1216"/>
      <c r="D17" s="1216"/>
      <c r="E17" s="1216"/>
      <c r="F17" s="1216"/>
      <c r="G17" s="1216"/>
      <c r="H17" s="1216"/>
      <c r="I17" s="1216"/>
      <c r="J17" s="1216"/>
      <c r="K17" s="1216"/>
    </row>
    <row r="18" spans="1:11" s="1254" customFormat="1" ht="12.75" customHeight="1">
      <c r="A18" s="1216"/>
      <c r="B18" s="1216"/>
      <c r="C18" s="1216"/>
      <c r="D18" s="1216"/>
      <c r="E18" s="1216"/>
      <c r="F18" s="1216"/>
      <c r="G18" s="1216"/>
      <c r="H18" s="1216"/>
      <c r="I18" s="1216"/>
      <c r="J18" s="1216"/>
      <c r="K18" s="1216"/>
    </row>
    <row r="19" spans="1:11" s="1254" customFormat="1" ht="12.75" customHeight="1">
      <c r="A19" s="1216"/>
      <c r="B19" s="1216"/>
      <c r="C19" s="1216"/>
      <c r="D19" s="1216"/>
      <c r="E19" s="1216"/>
      <c r="F19" s="1216"/>
      <c r="G19" s="1216"/>
      <c r="H19" s="1216"/>
      <c r="I19" s="1216"/>
      <c r="J19" s="1216"/>
      <c r="K19" s="1216"/>
    </row>
    <row r="20" spans="1:11" s="1254" customFormat="1" ht="12.75" customHeight="1">
      <c r="A20" s="1216"/>
      <c r="B20" s="1216"/>
      <c r="C20" s="1216"/>
      <c r="D20" s="1216"/>
      <c r="E20" s="1216"/>
      <c r="F20" s="1216"/>
      <c r="G20" s="1216"/>
      <c r="H20" s="1216"/>
      <c r="I20" s="1216"/>
      <c r="J20" s="1216"/>
      <c r="K20" s="1216"/>
    </row>
    <row r="21" spans="1:11" s="1254" customFormat="1" ht="16.5" customHeight="1">
      <c r="A21" s="1216"/>
      <c r="B21" s="1216"/>
      <c r="C21" s="1216"/>
      <c r="D21" s="1216"/>
      <c r="E21" s="1216"/>
      <c r="F21" s="1216"/>
      <c r="G21" s="1216"/>
      <c r="H21" s="1216"/>
      <c r="I21" s="1216"/>
      <c r="J21" s="1216"/>
      <c r="K21" s="1216"/>
    </row>
    <row r="22" spans="1:11" s="1254" customFormat="1" ht="46.5" customHeight="1">
      <c r="A22" s="1542" t="s">
        <v>1686</v>
      </c>
      <c r="B22" s="1542"/>
      <c r="C22" s="1542"/>
      <c r="D22" s="1542"/>
      <c r="E22" s="1542"/>
      <c r="F22" s="1542"/>
      <c r="G22" s="1542"/>
      <c r="H22" s="1542"/>
      <c r="I22" s="1542"/>
      <c r="J22" s="1542"/>
      <c r="K22" s="1542"/>
    </row>
    <row r="23" spans="1:11" s="1254" customFormat="1" ht="21">
      <c r="A23" s="1506" t="s">
        <v>258</v>
      </c>
      <c r="B23" s="1506"/>
      <c r="C23" s="1506"/>
      <c r="D23" s="1506"/>
      <c r="E23" s="1506"/>
      <c r="F23" s="1506"/>
      <c r="G23" s="1506"/>
      <c r="H23" s="1506"/>
      <c r="I23" s="1506"/>
      <c r="J23" s="1506"/>
      <c r="K23" s="1506"/>
    </row>
    <row r="24" spans="1:11" s="1254" customFormat="1" ht="12.75" customHeight="1">
      <c r="A24" s="559"/>
      <c r="B24" s="559"/>
      <c r="C24" s="559"/>
      <c r="D24" s="559"/>
      <c r="E24" s="559"/>
      <c r="F24" s="559"/>
      <c r="G24" s="559"/>
      <c r="H24" s="559"/>
      <c r="I24" s="559"/>
      <c r="J24" s="559"/>
      <c r="K24" s="559"/>
    </row>
    <row r="25" spans="1:11" s="1254" customFormat="1" ht="22.5" customHeight="1">
      <c r="A25" s="1503"/>
      <c r="B25" s="1503"/>
      <c r="C25" s="1503"/>
      <c r="D25" s="1503"/>
      <c r="E25" s="1503"/>
      <c r="F25" s="1503"/>
      <c r="G25" s="1503"/>
      <c r="H25" s="1503"/>
      <c r="I25" s="1503"/>
      <c r="J25" s="1503"/>
      <c r="K25" s="1503"/>
    </row>
    <row r="26" spans="1:11" s="1254" customFormat="1" ht="12.75" customHeight="1">
      <c r="A26" s="533"/>
      <c r="B26" s="1216"/>
      <c r="C26" s="1216"/>
      <c r="D26" s="531"/>
      <c r="E26" s="586"/>
      <c r="F26" s="1216"/>
      <c r="G26" s="1216"/>
      <c r="H26" s="528"/>
      <c r="I26" s="528"/>
      <c r="J26" s="531"/>
      <c r="K26" s="558"/>
    </row>
    <row r="27" spans="1:11" s="1254" customFormat="1" ht="12.75" customHeight="1">
      <c r="A27" s="533"/>
      <c r="B27" s="1216"/>
      <c r="C27" s="1216"/>
      <c r="D27" s="531"/>
      <c r="E27" s="586"/>
      <c r="F27" s="1216"/>
      <c r="G27" s="1216"/>
      <c r="H27" s="528"/>
      <c r="I27" s="528"/>
      <c r="J27" s="531"/>
      <c r="K27" s="558"/>
    </row>
    <row r="28" spans="1:11" s="1254" customFormat="1" ht="12.75" customHeight="1">
      <c r="A28" s="533"/>
      <c r="B28" s="1216"/>
      <c r="C28" s="1216"/>
      <c r="D28" s="531"/>
      <c r="E28" s="586"/>
      <c r="F28" s="1216"/>
      <c r="G28" s="1216"/>
      <c r="H28" s="528"/>
      <c r="I28" s="528"/>
      <c r="J28" s="531"/>
      <c r="K28" s="558"/>
    </row>
    <row r="29" spans="1:11" s="1254" customFormat="1" ht="12.75" customHeight="1">
      <c r="A29" s="533"/>
      <c r="B29" s="1216"/>
      <c r="C29" s="1216"/>
      <c r="D29" s="531"/>
      <c r="E29" s="586"/>
      <c r="F29" s="1216"/>
      <c r="G29" s="1216"/>
      <c r="H29" s="528"/>
      <c r="I29" s="528"/>
      <c r="J29" s="531"/>
      <c r="K29" s="558"/>
    </row>
    <row r="30" spans="1:11" s="1254" customFormat="1" ht="12.75" customHeight="1">
      <c r="A30" s="533"/>
      <c r="B30" s="1216"/>
      <c r="C30" s="1216"/>
      <c r="D30" s="531"/>
      <c r="E30" s="586"/>
      <c r="F30" s="1216"/>
      <c r="G30" s="1216"/>
      <c r="H30" s="528"/>
      <c r="I30" s="528"/>
      <c r="J30" s="531"/>
      <c r="K30" s="558"/>
    </row>
    <row r="31" spans="1:11" s="1254" customFormat="1" ht="12.75" customHeight="1">
      <c r="A31" s="533"/>
      <c r="B31" s="1216"/>
      <c r="C31" s="1216"/>
      <c r="D31" s="531"/>
      <c r="E31" s="586"/>
      <c r="F31" s="1216"/>
      <c r="G31" s="1216"/>
      <c r="H31" s="528"/>
      <c r="I31" s="528"/>
      <c r="J31" s="531"/>
      <c r="K31" s="558"/>
    </row>
    <row r="32" spans="1:11" s="1254" customFormat="1" ht="16.5" customHeight="1">
      <c r="A32" s="533"/>
      <c r="B32" s="1216"/>
      <c r="C32" s="1216"/>
      <c r="D32" s="531"/>
      <c r="E32" s="586"/>
      <c r="F32" s="1216"/>
      <c r="G32" s="1216"/>
      <c r="H32" s="528"/>
      <c r="I32" s="528"/>
      <c r="J32" s="531"/>
      <c r="K32" s="558"/>
    </row>
    <row r="33" spans="1:13" s="1254" customFormat="1" ht="16.5" customHeight="1">
      <c r="A33" s="533"/>
      <c r="B33" s="1216"/>
      <c r="C33" s="1216"/>
      <c r="D33" s="531"/>
      <c r="E33" s="586"/>
      <c r="F33" s="1216"/>
      <c r="G33" s="1216"/>
      <c r="H33" s="528"/>
      <c r="I33" s="528"/>
      <c r="J33" s="531"/>
      <c r="K33" s="558"/>
    </row>
    <row r="34" spans="1:13" s="1254" customFormat="1" ht="16.5" customHeight="1">
      <c r="A34" s="533"/>
      <c r="B34" s="1216"/>
      <c r="C34" s="1216"/>
      <c r="D34" s="531"/>
      <c r="E34" s="586"/>
      <c r="F34" s="1216"/>
      <c r="G34" s="1216"/>
      <c r="H34" s="528"/>
      <c r="I34" s="528"/>
      <c r="J34" s="531"/>
      <c r="K34" s="558"/>
    </row>
    <row r="35" spans="1:13" s="1254" customFormat="1" ht="12.75" customHeight="1">
      <c r="A35" s="533"/>
      <c r="B35" s="1216"/>
      <c r="C35" s="1216"/>
      <c r="D35" s="531"/>
      <c r="E35" s="586"/>
      <c r="F35" s="1216"/>
      <c r="G35" s="1216"/>
      <c r="H35" s="528"/>
      <c r="I35" s="528"/>
      <c r="J35" s="531"/>
      <c r="K35" s="558"/>
    </row>
    <row r="36" spans="1:13" s="1254" customFormat="1" ht="12.75" customHeight="1">
      <c r="A36" s="533"/>
      <c r="B36" s="1216"/>
      <c r="C36" s="1216"/>
      <c r="D36" s="531"/>
      <c r="E36" s="586"/>
      <c r="F36" s="1216"/>
      <c r="G36" s="1216"/>
      <c r="H36" s="528"/>
      <c r="I36" s="528"/>
      <c r="J36" s="531"/>
      <c r="K36" s="558"/>
    </row>
    <row r="37" spans="1:13" s="1254" customFormat="1" ht="12.75" customHeight="1">
      <c r="A37" s="533"/>
      <c r="B37" s="1216"/>
      <c r="C37" s="1216"/>
      <c r="D37" s="531"/>
      <c r="E37" s="586"/>
      <c r="F37" s="1216"/>
      <c r="G37" s="1216"/>
      <c r="H37" s="528"/>
      <c r="I37" s="528"/>
      <c r="J37" s="531"/>
      <c r="K37" s="558"/>
    </row>
    <row r="38" spans="1:13" s="1254" customFormat="1" ht="12.75" customHeight="1">
      <c r="A38" s="533"/>
      <c r="B38" s="1216"/>
      <c r="C38" s="1216"/>
      <c r="D38" s="531"/>
      <c r="E38" s="586"/>
      <c r="F38" s="1216"/>
      <c r="G38" s="1216"/>
      <c r="H38" s="528"/>
      <c r="I38" s="528"/>
      <c r="J38" s="531"/>
      <c r="K38" s="558"/>
    </row>
    <row r="39" spans="1:13" s="1254" customFormat="1" ht="12.75" customHeight="1">
      <c r="A39" s="533"/>
      <c r="B39" s="1216"/>
      <c r="C39" s="1216"/>
      <c r="D39" s="531"/>
      <c r="E39" s="586"/>
      <c r="F39" s="1216"/>
      <c r="G39" s="1216"/>
      <c r="H39" s="528"/>
      <c r="I39" s="528"/>
      <c r="J39" s="531"/>
      <c r="K39" s="558"/>
    </row>
    <row r="40" spans="1:13" s="1254" customFormat="1" ht="12.75" customHeight="1">
      <c r="A40" s="533"/>
      <c r="B40" s="1216"/>
      <c r="C40" s="1216"/>
      <c r="D40" s="531"/>
      <c r="E40" s="586"/>
      <c r="F40" s="1216"/>
      <c r="G40" s="1216"/>
      <c r="H40" s="528"/>
      <c r="I40" s="528"/>
      <c r="J40" s="531"/>
      <c r="K40" s="558"/>
    </row>
    <row r="41" spans="1:13" s="1254" customFormat="1" ht="12.75" customHeight="1">
      <c r="A41" s="533"/>
      <c r="B41" s="1216"/>
      <c r="C41" s="1216"/>
      <c r="D41" s="531"/>
      <c r="E41" s="586"/>
      <c r="F41" s="1216"/>
      <c r="G41" s="1216"/>
      <c r="H41" s="528"/>
      <c r="I41" s="528"/>
      <c r="J41" s="531"/>
      <c r="K41" s="558"/>
    </row>
    <row r="42" spans="1:13" s="1254" customFormat="1" ht="12.75" customHeight="1">
      <c r="A42" s="533"/>
      <c r="B42" s="1216"/>
      <c r="C42" s="1216"/>
      <c r="D42" s="531"/>
      <c r="E42" s="586"/>
      <c r="F42" s="1216"/>
      <c r="G42" s="1216"/>
      <c r="H42" s="528"/>
      <c r="I42" s="528"/>
      <c r="J42" s="531"/>
      <c r="K42" s="558"/>
    </row>
    <row r="43" spans="1:13" s="1254" customFormat="1" ht="12.75" customHeight="1">
      <c r="A43" s="533"/>
      <c r="B43" s="1216"/>
      <c r="C43" s="1216"/>
      <c r="D43" s="531"/>
      <c r="E43" s="586"/>
      <c r="F43" s="1216"/>
      <c r="G43" s="1216"/>
      <c r="H43" s="528"/>
      <c r="I43" s="528"/>
      <c r="J43" s="531"/>
      <c r="K43" s="558"/>
    </row>
    <row r="44" spans="1:13" s="1254" customFormat="1" ht="12.75" customHeight="1">
      <c r="A44" s="167"/>
      <c r="B44" s="168"/>
      <c r="C44" s="169"/>
      <c r="D44" s="169"/>
      <c r="E44" s="169"/>
      <c r="F44" s="169"/>
      <c r="G44" s="169"/>
      <c r="H44" s="1255"/>
      <c r="I44" s="168"/>
      <c r="J44" s="170"/>
    </row>
    <row r="45" spans="1:13" s="1254" customFormat="1" ht="12.75" customHeight="1">
      <c r="A45" s="167"/>
      <c r="B45" s="168"/>
      <c r="C45" s="169"/>
      <c r="D45" s="169"/>
      <c r="E45" s="169"/>
      <c r="F45" s="169"/>
      <c r="G45" s="169"/>
      <c r="H45" s="1255"/>
      <c r="I45" s="168"/>
      <c r="J45" s="170"/>
    </row>
    <row r="46" spans="1:13" s="1254" customFormat="1" ht="12.75" customHeight="1">
      <c r="A46" s="167"/>
      <c r="B46" s="168"/>
      <c r="C46" s="169"/>
      <c r="D46" s="169"/>
      <c r="E46" s="169"/>
      <c r="F46" s="169"/>
      <c r="G46" s="169"/>
      <c r="H46" s="1255"/>
      <c r="I46" s="168"/>
      <c r="J46" s="170"/>
    </row>
    <row r="47" spans="1:13" s="1254" customFormat="1" ht="12.75" customHeight="1">
      <c r="A47" s="533"/>
      <c r="B47" s="1216"/>
      <c r="C47" s="1510" t="s">
        <v>1556</v>
      </c>
      <c r="D47" s="1510"/>
      <c r="E47" s="1510"/>
      <c r="F47" s="1510"/>
      <c r="G47" s="1510"/>
      <c r="H47" s="1510"/>
      <c r="I47" s="1217"/>
      <c r="J47" s="1217"/>
      <c r="K47" s="1256"/>
      <c r="L47" s="1256"/>
      <c r="M47" s="1256"/>
    </row>
    <row r="48" spans="1:13" s="1254" customFormat="1" ht="12.75" customHeight="1">
      <c r="A48" s="533"/>
      <c r="B48" s="1216"/>
      <c r="C48" s="1510"/>
      <c r="D48" s="1510"/>
      <c r="E48" s="1510"/>
      <c r="F48" s="1510"/>
      <c r="G48" s="1510"/>
      <c r="H48" s="1510"/>
      <c r="I48" s="1218"/>
      <c r="J48" s="1218"/>
      <c r="K48" s="1218"/>
      <c r="L48" s="1218"/>
      <c r="M48" s="1218"/>
    </row>
    <row r="49" spans="1:11" s="1254" customFormat="1" ht="12.75" customHeight="1">
      <c r="A49" s="533"/>
      <c r="B49" s="1216"/>
      <c r="C49" s="1216"/>
      <c r="D49" s="531"/>
      <c r="E49" s="586"/>
      <c r="F49" s="1216"/>
      <c r="G49" s="1216"/>
      <c r="H49" s="528"/>
      <c r="I49" s="528"/>
      <c r="J49" s="531"/>
      <c r="K49" s="558"/>
    </row>
    <row r="50" spans="1:11" ht="9" customHeight="1">
      <c r="A50" s="6"/>
      <c r="B50" s="7"/>
      <c r="C50" s="1511">
        <f>$A$1</f>
        <v>0</v>
      </c>
      <c r="D50" s="1511"/>
      <c r="E50" s="1511"/>
      <c r="F50" s="1511"/>
      <c r="G50" s="1511"/>
      <c r="H50" s="1511"/>
      <c r="I50" s="1511"/>
      <c r="J50" s="1511"/>
      <c r="K50" s="1511"/>
    </row>
    <row r="51" spans="1:11" ht="12.75" customHeight="1">
      <c r="A51" s="6"/>
      <c r="B51" s="7"/>
      <c r="C51" s="1511">
        <f>$A$2</f>
        <v>0</v>
      </c>
      <c r="D51" s="1511"/>
      <c r="E51" s="1511"/>
      <c r="F51" s="1511"/>
      <c r="G51" s="1511"/>
      <c r="H51" s="1511"/>
      <c r="I51" s="1511"/>
      <c r="J51" s="1511"/>
      <c r="K51" s="1511"/>
    </row>
    <row r="52" spans="1:11" ht="12.75" customHeight="1">
      <c r="A52" s="6"/>
      <c r="B52" s="7"/>
      <c r="C52" s="1511">
        <f>$A$3</f>
        <v>0</v>
      </c>
      <c r="D52" s="1511"/>
      <c r="E52" s="1511"/>
      <c r="F52" s="1511"/>
      <c r="G52" s="1511"/>
      <c r="H52" s="1511"/>
      <c r="I52" s="1511"/>
      <c r="J52" s="1511"/>
      <c r="K52" s="1511"/>
    </row>
    <row r="53" spans="1:11" ht="41.25" customHeight="1">
      <c r="A53" s="1505" t="str">
        <f>$A$22</f>
        <v>Кубок Красноярского края</v>
      </c>
      <c r="B53" s="1505"/>
      <c r="C53" s="1505"/>
      <c r="D53" s="1505"/>
      <c r="E53" s="1505"/>
      <c r="F53" s="1505"/>
      <c r="G53" s="1505"/>
      <c r="H53" s="1505"/>
      <c r="I53" s="1505"/>
      <c r="J53" s="1505"/>
      <c r="K53" s="1505"/>
    </row>
    <row r="54" spans="1:11" ht="21" customHeight="1">
      <c r="A54" s="1512" t="str">
        <f>$A$23</f>
        <v>по подводному спорту (1460008511Я) (плавание в ластах)</v>
      </c>
      <c r="B54" s="1513"/>
      <c r="C54" s="1513"/>
      <c r="D54" s="1513"/>
      <c r="E54" s="1513"/>
      <c r="F54" s="1513"/>
      <c r="G54" s="1513"/>
      <c r="H54" s="1513"/>
      <c r="I54" s="1513"/>
      <c r="J54" s="1513"/>
      <c r="K54" s="1513"/>
    </row>
    <row r="55" spans="1:11" ht="29.25" customHeight="1">
      <c r="A55" s="1508" t="s">
        <v>1428</v>
      </c>
      <c r="B55" s="1508"/>
      <c r="C55" s="1508"/>
      <c r="D55" s="9"/>
      <c r="E55" s="1201"/>
      <c r="F55" s="1509" t="str">
        <f>$C$47</f>
        <v>г. Красноярск, бассейн ДВС СибГУ, 50 м</v>
      </c>
      <c r="G55" s="1509"/>
      <c r="H55" s="1509"/>
      <c r="I55" s="1509"/>
      <c r="J55" s="1509"/>
    </row>
    <row r="56" spans="1:11" ht="20.25" customHeight="1">
      <c r="A56" s="1519" t="s">
        <v>1558</v>
      </c>
      <c r="B56" s="1519"/>
      <c r="C56" s="1519"/>
      <c r="D56" s="1519"/>
      <c r="E56" s="1519"/>
      <c r="F56" s="1519"/>
      <c r="G56" s="1519"/>
      <c r="H56" s="1519"/>
      <c r="I56" s="1519"/>
      <c r="J56" s="1519"/>
      <c r="K56" s="1519"/>
    </row>
    <row r="57" spans="1:11" ht="27" customHeight="1">
      <c r="A57" s="1257" t="s">
        <v>0</v>
      </c>
      <c r="B57" s="1537" t="s">
        <v>1559</v>
      </c>
      <c r="C57" s="1537"/>
      <c r="D57" s="1538"/>
      <c r="E57" s="1539" t="s">
        <v>1560</v>
      </c>
      <c r="F57" s="1537"/>
      <c r="G57" s="1537"/>
      <c r="H57" s="1258" t="s">
        <v>1561</v>
      </c>
      <c r="I57" s="1540" t="s">
        <v>1562</v>
      </c>
      <c r="J57" s="1541"/>
      <c r="K57" s="1541"/>
    </row>
    <row r="58" spans="1:11" ht="9" customHeight="1">
      <c r="A58" s="1259"/>
      <c r="B58" s="1259"/>
      <c r="C58" s="1260"/>
      <c r="D58" s="1260"/>
      <c r="E58" s="1260"/>
      <c r="F58" s="1259"/>
      <c r="G58" s="1260"/>
      <c r="H58" s="1260"/>
      <c r="I58" s="1261"/>
      <c r="J58" s="1260"/>
      <c r="K58" s="1262"/>
    </row>
    <row r="59" spans="1:11" ht="15" customHeight="1">
      <c r="A59" s="1263">
        <v>1</v>
      </c>
      <c r="B59" s="1264" t="s">
        <v>2</v>
      </c>
      <c r="C59" s="1263"/>
      <c r="D59" s="586"/>
      <c r="E59" s="13"/>
      <c r="F59" s="15"/>
      <c r="G59" s="1263"/>
      <c r="H59" s="1265"/>
      <c r="I59" s="13" t="s">
        <v>1565</v>
      </c>
      <c r="J59" s="1263"/>
      <c r="K59" s="1263"/>
    </row>
    <row r="60" spans="1:11" ht="15" customHeight="1">
      <c r="A60" s="1263">
        <v>2</v>
      </c>
      <c r="B60" s="1264" t="s">
        <v>1566</v>
      </c>
      <c r="C60" s="1263"/>
      <c r="D60" s="586"/>
      <c r="E60" s="13"/>
      <c r="F60" s="15"/>
      <c r="G60" s="1263"/>
      <c r="H60" s="1265"/>
      <c r="I60" s="13" t="s">
        <v>1565</v>
      </c>
      <c r="J60" s="586"/>
      <c r="K60" s="586"/>
    </row>
    <row r="61" spans="1:11">
      <c r="A61" s="1263">
        <v>3</v>
      </c>
      <c r="B61" s="1264" t="s">
        <v>1568</v>
      </c>
      <c r="C61" s="1263"/>
      <c r="D61" s="586"/>
      <c r="E61" s="13"/>
      <c r="F61" s="15"/>
      <c r="G61" s="1263"/>
      <c r="H61" s="1265"/>
      <c r="I61" s="13" t="s">
        <v>1565</v>
      </c>
      <c r="J61" s="586"/>
      <c r="K61" s="586"/>
    </row>
    <row r="62" spans="1:11">
      <c r="A62" s="1263">
        <v>4</v>
      </c>
      <c r="B62" s="1264" t="s">
        <v>1570</v>
      </c>
      <c r="C62" s="1263"/>
      <c r="D62" s="586"/>
      <c r="E62" s="13"/>
      <c r="F62" s="15"/>
      <c r="G62" s="1263"/>
      <c r="H62" s="1265"/>
      <c r="I62" s="13" t="s">
        <v>1565</v>
      </c>
      <c r="J62" s="586"/>
      <c r="K62" s="586"/>
    </row>
    <row r="63" spans="1:11" ht="15" customHeight="1">
      <c r="A63" s="1263">
        <v>5</v>
      </c>
      <c r="B63" s="1264" t="s">
        <v>1573</v>
      </c>
      <c r="C63" s="1263"/>
      <c r="D63" s="586"/>
      <c r="E63" s="13"/>
      <c r="F63" s="15"/>
      <c r="G63" s="1263"/>
      <c r="H63" s="1265"/>
      <c r="I63" s="13" t="s">
        <v>1565</v>
      </c>
      <c r="J63" s="1263"/>
      <c r="K63" s="1263"/>
    </row>
    <row r="64" spans="1:11" ht="15" customHeight="1">
      <c r="A64" s="1263">
        <v>6</v>
      </c>
      <c r="B64" s="1264" t="s">
        <v>1575</v>
      </c>
      <c r="C64" s="1263"/>
      <c r="D64" s="586"/>
      <c r="E64" s="13"/>
      <c r="F64" s="15"/>
      <c r="G64" s="1263"/>
      <c r="H64" s="1265"/>
      <c r="I64" s="13" t="s">
        <v>1565</v>
      </c>
      <c r="J64" s="1263"/>
      <c r="K64" s="1263"/>
    </row>
    <row r="65" spans="1:11" ht="15" customHeight="1">
      <c r="A65" s="1263">
        <v>7</v>
      </c>
      <c r="B65" s="1264" t="s">
        <v>1578</v>
      </c>
      <c r="C65" s="1263"/>
      <c r="D65" s="586"/>
      <c r="E65" s="13"/>
      <c r="F65" s="15"/>
      <c r="G65" s="1263"/>
      <c r="H65" s="1265"/>
      <c r="I65" s="13" t="s">
        <v>1565</v>
      </c>
      <c r="J65" s="586"/>
      <c r="K65" s="586"/>
    </row>
    <row r="66" spans="1:11" ht="15" customHeight="1">
      <c r="A66" s="1263">
        <v>8</v>
      </c>
      <c r="B66" s="1264" t="s">
        <v>1581</v>
      </c>
      <c r="C66" s="1263"/>
      <c r="D66" s="586"/>
      <c r="E66" s="13"/>
      <c r="F66" s="15"/>
      <c r="G66" s="1263"/>
      <c r="H66" s="1265"/>
      <c r="I66" s="13" t="s">
        <v>1565</v>
      </c>
      <c r="J66" s="1263"/>
      <c r="K66" s="1263"/>
    </row>
    <row r="67" spans="1:11" ht="15" customHeight="1">
      <c r="A67" s="1263">
        <v>9</v>
      </c>
      <c r="B67" s="1264" t="s">
        <v>1583</v>
      </c>
      <c r="C67" s="1263"/>
      <c r="D67" s="586"/>
      <c r="E67" s="13"/>
      <c r="F67" s="15"/>
      <c r="G67" s="1263"/>
      <c r="H67" s="1265"/>
      <c r="I67" s="13" t="s">
        <v>1565</v>
      </c>
      <c r="J67" s="1263"/>
      <c r="K67" s="1263"/>
    </row>
    <row r="68" spans="1:11" ht="15" customHeight="1">
      <c r="A68" s="1263">
        <v>10</v>
      </c>
      <c r="B68" s="1264" t="s">
        <v>1585</v>
      </c>
      <c r="C68" s="1263"/>
      <c r="D68" s="586"/>
      <c r="E68" s="13"/>
      <c r="F68" s="15"/>
      <c r="G68" s="1263"/>
      <c r="H68" s="1265"/>
      <c r="I68" s="13" t="s">
        <v>1565</v>
      </c>
      <c r="J68" s="1263"/>
      <c r="K68" s="1263"/>
    </row>
    <row r="69" spans="1:11" ht="15" customHeight="1">
      <c r="A69" s="1263">
        <v>11</v>
      </c>
      <c r="B69" s="1264" t="s">
        <v>1588</v>
      </c>
      <c r="C69" s="1263"/>
      <c r="D69" s="586"/>
      <c r="E69" s="13"/>
      <c r="F69" s="15"/>
      <c r="G69" s="1263"/>
      <c r="H69" s="1265"/>
      <c r="I69" s="13" t="s">
        <v>1565</v>
      </c>
      <c r="J69" s="1263"/>
      <c r="K69" s="1263"/>
    </row>
    <row r="70" spans="1:11" ht="15" customHeight="1">
      <c r="A70" s="1263">
        <v>12</v>
      </c>
      <c r="B70" s="1264" t="s">
        <v>1590</v>
      </c>
      <c r="C70" s="1263"/>
      <c r="D70" s="586"/>
      <c r="E70" s="13"/>
      <c r="F70" s="15"/>
      <c r="G70" s="1263"/>
      <c r="H70" s="1265"/>
      <c r="I70" s="13" t="s">
        <v>1565</v>
      </c>
      <c r="J70" s="1263"/>
      <c r="K70" s="1263"/>
    </row>
    <row r="71" spans="1:11" ht="15" customHeight="1">
      <c r="A71" s="1263">
        <v>13</v>
      </c>
      <c r="B71" s="1264" t="s">
        <v>1592</v>
      </c>
      <c r="C71" s="1263"/>
      <c r="D71" s="586"/>
      <c r="E71" s="13"/>
      <c r="F71" s="15"/>
      <c r="G71" s="1263"/>
      <c r="H71" s="1265"/>
      <c r="I71" s="13" t="s">
        <v>1565</v>
      </c>
      <c r="J71" s="1263"/>
      <c r="K71" s="1263"/>
    </row>
    <row r="72" spans="1:11" ht="15" customHeight="1">
      <c r="A72" s="1263">
        <v>14</v>
      </c>
      <c r="B72" s="1264" t="s">
        <v>1594</v>
      </c>
      <c r="C72" s="1263"/>
      <c r="D72" s="586"/>
      <c r="E72" s="13"/>
      <c r="F72" s="15"/>
      <c r="G72" s="1263"/>
      <c r="H72" s="1265"/>
      <c r="I72" s="13" t="s">
        <v>1565</v>
      </c>
      <c r="J72" s="1263"/>
      <c r="K72" s="1263"/>
    </row>
    <row r="73" spans="1:11" ht="15" customHeight="1">
      <c r="A73" s="1263">
        <v>15</v>
      </c>
      <c r="B73" s="1264" t="s">
        <v>1594</v>
      </c>
      <c r="C73" s="1263"/>
      <c r="D73" s="586"/>
      <c r="E73" s="13"/>
      <c r="F73" s="15"/>
      <c r="G73" s="1263"/>
      <c r="H73" s="1265"/>
      <c r="I73" s="13" t="s">
        <v>1565</v>
      </c>
      <c r="J73" s="1263"/>
      <c r="K73" s="1263"/>
    </row>
    <row r="74" spans="1:11" ht="15" customHeight="1">
      <c r="A74" s="1263">
        <v>16</v>
      </c>
      <c r="B74" s="1264" t="s">
        <v>1594</v>
      </c>
      <c r="C74" s="1263"/>
      <c r="D74" s="586"/>
      <c r="E74" s="13"/>
      <c r="F74" s="15"/>
      <c r="G74" s="1263"/>
      <c r="H74" s="1265"/>
      <c r="I74" s="13" t="s">
        <v>1565</v>
      </c>
      <c r="J74" s="1263"/>
      <c r="K74" s="1263"/>
    </row>
    <row r="75" spans="1:11" ht="15" customHeight="1">
      <c r="A75" s="1263">
        <v>17</v>
      </c>
      <c r="B75" s="1264" t="s">
        <v>1594</v>
      </c>
      <c r="C75" s="1263"/>
      <c r="D75" s="586"/>
      <c r="E75" s="13"/>
      <c r="F75" s="15"/>
      <c r="G75" s="1263"/>
      <c r="H75" s="1265"/>
      <c r="I75" s="13" t="s">
        <v>1565</v>
      </c>
      <c r="J75" s="1263"/>
      <c r="K75" s="1263"/>
    </row>
    <row r="76" spans="1:11" ht="15" customHeight="1">
      <c r="A76" s="1263">
        <v>18</v>
      </c>
      <c r="B76" s="1264" t="s">
        <v>1594</v>
      </c>
      <c r="C76" s="1263"/>
      <c r="D76" s="586"/>
      <c r="E76" s="13"/>
      <c r="F76" s="15"/>
      <c r="G76" s="1263"/>
      <c r="H76" s="1265"/>
      <c r="I76" s="13" t="s">
        <v>1565</v>
      </c>
      <c r="J76" s="1263"/>
      <c r="K76" s="1263"/>
    </row>
    <row r="77" spans="1:11" ht="15" customHeight="1">
      <c r="A77" s="1263">
        <v>19</v>
      </c>
      <c r="B77" s="1264" t="s">
        <v>1594</v>
      </c>
      <c r="C77" s="1263"/>
      <c r="D77" s="586"/>
      <c r="E77" s="13"/>
      <c r="F77" s="15"/>
      <c r="G77" s="1263"/>
      <c r="H77" s="1265"/>
      <c r="I77" s="13" t="s">
        <v>1565</v>
      </c>
      <c r="J77" s="1263"/>
      <c r="K77" s="1263"/>
    </row>
    <row r="78" spans="1:11" ht="15" customHeight="1">
      <c r="A78" s="1263">
        <v>20</v>
      </c>
      <c r="B78" s="1264" t="s">
        <v>1601</v>
      </c>
      <c r="C78" s="1263"/>
      <c r="D78" s="586"/>
      <c r="E78" s="13"/>
      <c r="F78" s="15"/>
      <c r="G78" s="1263"/>
      <c r="H78" s="1265"/>
      <c r="I78" s="13" t="s">
        <v>1565</v>
      </c>
      <c r="J78" s="1263"/>
      <c r="K78" s="1263"/>
    </row>
    <row r="79" spans="1:11" ht="15" customHeight="1">
      <c r="A79" s="1263">
        <v>21</v>
      </c>
      <c r="B79" s="1264" t="s">
        <v>1603</v>
      </c>
      <c r="C79" s="1263"/>
      <c r="D79" s="586"/>
      <c r="E79" s="13"/>
      <c r="F79" s="15"/>
      <c r="G79" s="1263"/>
      <c r="H79" s="1265"/>
      <c r="I79" s="13" t="s">
        <v>1565</v>
      </c>
      <c r="J79" s="1263"/>
      <c r="K79" s="1263"/>
    </row>
    <row r="80" spans="1:11" ht="15" customHeight="1">
      <c r="A80" s="1263">
        <v>22</v>
      </c>
      <c r="B80" s="1264" t="s">
        <v>1605</v>
      </c>
      <c r="C80" s="1263"/>
      <c r="D80" s="586"/>
      <c r="E80" s="13"/>
      <c r="F80" s="15"/>
      <c r="G80" s="1263"/>
      <c r="H80" s="1265"/>
      <c r="I80" s="13" t="s">
        <v>1565</v>
      </c>
      <c r="J80" s="1263"/>
      <c r="K80" s="1263"/>
    </row>
    <row r="81" spans="1:11" ht="12.75" customHeight="1">
      <c r="A81" s="1263">
        <v>23</v>
      </c>
      <c r="B81" s="1264" t="s">
        <v>1605</v>
      </c>
      <c r="C81" s="1263"/>
      <c r="D81" s="586"/>
      <c r="E81" s="13"/>
      <c r="F81" s="15"/>
      <c r="G81" s="1263"/>
      <c r="H81" s="1265"/>
      <c r="I81" s="13" t="s">
        <v>1565</v>
      </c>
      <c r="J81" s="1141"/>
      <c r="K81" s="5"/>
    </row>
    <row r="82" spans="1:11" ht="15" customHeight="1">
      <c r="A82" s="1263">
        <v>24</v>
      </c>
      <c r="B82" s="1264" t="s">
        <v>1608</v>
      </c>
      <c r="C82" s="1263"/>
      <c r="D82" s="586"/>
      <c r="E82" s="13"/>
      <c r="F82" s="15"/>
      <c r="G82" s="1263"/>
      <c r="H82" s="1265"/>
      <c r="I82" s="13" t="s">
        <v>1565</v>
      </c>
      <c r="J82" s="1263"/>
      <c r="K82" s="1263"/>
    </row>
    <row r="83" spans="1:11" ht="15" customHeight="1">
      <c r="A83" s="1263">
        <v>25</v>
      </c>
      <c r="B83" s="1264" t="s">
        <v>1608</v>
      </c>
      <c r="C83" s="1263"/>
      <c r="D83" s="586"/>
      <c r="E83" s="13"/>
      <c r="F83" s="15"/>
      <c r="G83" s="1263"/>
      <c r="H83" s="1265"/>
      <c r="I83" s="13" t="s">
        <v>1565</v>
      </c>
      <c r="J83" s="1263"/>
      <c r="K83" s="1263"/>
    </row>
    <row r="84" spans="1:11" ht="15" customHeight="1">
      <c r="A84" s="1263">
        <v>26</v>
      </c>
      <c r="B84" s="1264" t="s">
        <v>1608</v>
      </c>
      <c r="C84" s="1263"/>
      <c r="D84" s="586"/>
      <c r="E84" s="13"/>
      <c r="F84" s="15"/>
      <c r="G84" s="1263"/>
      <c r="H84" s="1265"/>
      <c r="I84" s="13" t="s">
        <v>1565</v>
      </c>
      <c r="J84" s="1263"/>
      <c r="K84" s="1263"/>
    </row>
    <row r="85" spans="1:11" ht="15" customHeight="1">
      <c r="A85" s="1263">
        <v>27</v>
      </c>
      <c r="B85" s="1264" t="s">
        <v>1612</v>
      </c>
      <c r="C85" s="1263"/>
      <c r="D85" s="586"/>
      <c r="E85" s="13"/>
      <c r="F85" s="15"/>
      <c r="G85" s="1263"/>
      <c r="H85" s="1265"/>
      <c r="I85" s="13" t="s">
        <v>1565</v>
      </c>
      <c r="J85" s="1263"/>
      <c r="K85" s="1263"/>
    </row>
    <row r="86" spans="1:11" ht="15" customHeight="1">
      <c r="A86" s="1263"/>
      <c r="B86" s="1264"/>
      <c r="C86" s="1263"/>
      <c r="D86" s="586"/>
      <c r="E86" s="13"/>
      <c r="F86" s="15"/>
      <c r="G86" s="1263"/>
      <c r="H86" s="1265"/>
      <c r="I86" s="13"/>
      <c r="J86" s="1263"/>
      <c r="K86" s="1263"/>
    </row>
    <row r="87" spans="1:11" ht="15" customHeight="1">
      <c r="A87" s="1263"/>
      <c r="B87" s="1264"/>
      <c r="C87" s="1263"/>
      <c r="D87" s="586"/>
      <c r="E87" s="13"/>
      <c r="F87" s="15"/>
      <c r="G87" s="1263"/>
      <c r="H87" s="1265"/>
      <c r="I87" s="13"/>
      <c r="J87" s="1263"/>
      <c r="K87" s="1263"/>
    </row>
    <row r="88" spans="1:11" ht="15" customHeight="1">
      <c r="A88" s="1263"/>
      <c r="B88" s="1264"/>
      <c r="C88" s="1263"/>
      <c r="D88" s="586"/>
      <c r="E88" s="13"/>
      <c r="F88" s="15"/>
      <c r="G88" s="1263"/>
      <c r="H88" s="1265"/>
      <c r="I88" s="13"/>
      <c r="J88" s="1263"/>
      <c r="K88" s="1263"/>
    </row>
    <row r="89" spans="1:11" ht="15" customHeight="1">
      <c r="A89" s="1263"/>
      <c r="B89" s="1264"/>
      <c r="C89" s="364"/>
      <c r="D89" s="364"/>
      <c r="E89" s="13"/>
      <c r="F89" s="364"/>
      <c r="G89" s="364"/>
      <c r="H89" s="1265"/>
      <c r="I89" s="13"/>
      <c r="J89" s="1263"/>
      <c r="K89" s="1263"/>
    </row>
    <row r="90" spans="1:11" ht="15" customHeight="1">
      <c r="A90" s="1263"/>
      <c r="B90" s="1264"/>
      <c r="C90" s="364"/>
      <c r="D90" s="364"/>
      <c r="E90" s="13"/>
      <c r="F90" s="364"/>
      <c r="G90" s="364"/>
      <c r="H90" s="1265"/>
      <c r="I90" s="13"/>
      <c r="J90" s="1263"/>
      <c r="K90" s="1263"/>
    </row>
    <row r="91" spans="1:11" ht="15" customHeight="1">
      <c r="A91" s="1263"/>
      <c r="B91" s="1264"/>
      <c r="C91" s="1263"/>
      <c r="D91" s="586"/>
      <c r="E91" s="13"/>
      <c r="F91" s="15"/>
      <c r="G91" s="1263"/>
      <c r="H91" s="1265"/>
      <c r="I91" s="13"/>
      <c r="J91" s="1263"/>
      <c r="K91" s="1263"/>
    </row>
    <row r="92" spans="1:11" ht="15" customHeight="1">
      <c r="J92" s="1263"/>
      <c r="K92" s="1263"/>
    </row>
    <row r="93" spans="1:11" ht="15" customHeight="1">
      <c r="A93" s="1263"/>
      <c r="B93" s="1264"/>
      <c r="C93" s="1263"/>
      <c r="J93" s="1263"/>
      <c r="K93" s="1263"/>
    </row>
    <row r="94" spans="1:11">
      <c r="A94" s="1204"/>
      <c r="B94" s="1514"/>
      <c r="C94" s="1514"/>
      <c r="D94" s="1514"/>
      <c r="E94" s="13"/>
      <c r="F94" s="1266"/>
      <c r="G94" s="1267"/>
      <c r="H94" s="1265"/>
      <c r="I94" s="13"/>
      <c r="J94" s="586"/>
      <c r="K94" s="586"/>
    </row>
    <row r="95" spans="1:11" ht="11.25" customHeight="1">
      <c r="A95" s="6"/>
      <c r="B95" s="7"/>
      <c r="C95" s="1511">
        <f>$A$1</f>
        <v>0</v>
      </c>
      <c r="D95" s="1511"/>
      <c r="E95" s="1511"/>
      <c r="F95" s="1511"/>
      <c r="G95" s="1511"/>
      <c r="H95" s="1511"/>
      <c r="I95" s="1511"/>
      <c r="J95" s="1511"/>
      <c r="K95" s="1511"/>
    </row>
    <row r="96" spans="1:11" ht="11.25" customHeight="1">
      <c r="A96" s="6"/>
      <c r="B96" s="7"/>
      <c r="C96" s="1511">
        <f>$A$2</f>
        <v>0</v>
      </c>
      <c r="D96" s="1511"/>
      <c r="E96" s="1511"/>
      <c r="F96" s="1511"/>
      <c r="G96" s="1511"/>
      <c r="H96" s="1511"/>
      <c r="I96" s="1511"/>
      <c r="J96" s="1511"/>
      <c r="K96" s="1511"/>
    </row>
    <row r="97" spans="1:11" ht="11.25" customHeight="1">
      <c r="A97" s="6"/>
      <c r="B97" s="7"/>
      <c r="C97" s="1511">
        <f>$A$3</f>
        <v>0</v>
      </c>
      <c r="D97" s="1511"/>
      <c r="E97" s="1511"/>
      <c r="F97" s="1511"/>
      <c r="G97" s="1511"/>
      <c r="H97" s="1511"/>
      <c r="I97" s="1511"/>
      <c r="J97" s="1511"/>
      <c r="K97" s="1511"/>
    </row>
    <row r="98" spans="1:11" ht="45.75" customHeight="1">
      <c r="A98" s="1505" t="s">
        <v>1686</v>
      </c>
      <c r="B98" s="1505"/>
      <c r="C98" s="1505"/>
      <c r="D98" s="1505"/>
      <c r="E98" s="1505"/>
      <c r="F98" s="1505"/>
      <c r="G98" s="1505"/>
      <c r="H98" s="1505"/>
      <c r="I98" s="1505"/>
      <c r="J98" s="1505"/>
      <c r="K98" s="1505"/>
    </row>
    <row r="99" spans="1:11" ht="21" customHeight="1">
      <c r="A99" s="1507" t="s">
        <v>258</v>
      </c>
      <c r="B99" s="1507"/>
      <c r="C99" s="1507"/>
      <c r="D99" s="1507"/>
      <c r="E99" s="1507"/>
      <c r="F99" s="1507"/>
      <c r="G99" s="1507"/>
      <c r="H99" s="1507"/>
      <c r="I99" s="1507"/>
      <c r="J99" s="1507"/>
      <c r="K99" s="1507"/>
    </row>
    <row r="100" spans="1:11" ht="25.5" customHeight="1">
      <c r="A100" s="13" t="s">
        <v>1428</v>
      </c>
      <c r="B100" s="1142"/>
      <c r="C100" s="1140"/>
      <c r="D100" s="9"/>
      <c r="E100" s="1201"/>
      <c r="F100" s="1525" t="str">
        <f>$C$47</f>
        <v>г. Красноярск, бассейн ДВС СибГУ, 50 м</v>
      </c>
      <c r="G100" s="1525"/>
      <c r="H100" s="1525"/>
      <c r="I100" s="1525"/>
      <c r="J100" s="1268"/>
    </row>
    <row r="101" spans="1:11" ht="16.5" customHeight="1">
      <c r="A101" s="1526" t="s">
        <v>1614</v>
      </c>
      <c r="B101" s="1526"/>
      <c r="C101" s="1526"/>
      <c r="D101" s="1526"/>
      <c r="E101" s="1526"/>
      <c r="F101" s="1526"/>
      <c r="G101" s="1526"/>
      <c r="H101" s="1526"/>
      <c r="I101" s="1526"/>
      <c r="J101" s="1526"/>
      <c r="K101" s="1526"/>
    </row>
    <row r="102" spans="1:11" ht="17.25" customHeight="1">
      <c r="A102" s="1519" t="s">
        <v>1615</v>
      </c>
      <c r="B102" s="1519"/>
      <c r="C102" s="1519"/>
      <c r="D102" s="1519"/>
      <c r="E102" s="1519"/>
      <c r="F102" s="1519"/>
      <c r="G102" s="1519"/>
      <c r="H102" s="1519"/>
      <c r="I102" s="1519"/>
      <c r="J102" s="1519"/>
      <c r="K102" s="1519"/>
    </row>
    <row r="103" spans="1:11" ht="21" customHeight="1">
      <c r="A103" s="1527" t="s">
        <v>16</v>
      </c>
      <c r="B103" s="1529" t="s">
        <v>5</v>
      </c>
      <c r="C103" s="1515" t="s">
        <v>1616</v>
      </c>
      <c r="D103" s="1531"/>
      <c r="E103" s="1529" t="s">
        <v>4</v>
      </c>
      <c r="F103" s="1515" t="s">
        <v>6</v>
      </c>
      <c r="G103" s="1531"/>
      <c r="H103" s="1533" t="s">
        <v>17</v>
      </c>
      <c r="I103" s="1534"/>
      <c r="J103" s="1535" t="s">
        <v>1617</v>
      </c>
      <c r="K103" s="1515" t="s">
        <v>18</v>
      </c>
    </row>
    <row r="104" spans="1:11" ht="12" customHeight="1">
      <c r="A104" s="1528"/>
      <c r="B104" s="1530"/>
      <c r="C104" s="1516"/>
      <c r="D104" s="1532"/>
      <c r="E104" s="1530"/>
      <c r="F104" s="1516"/>
      <c r="G104" s="1532"/>
      <c r="H104" s="1269" t="s">
        <v>1618</v>
      </c>
      <c r="I104" s="1269" t="s">
        <v>1619</v>
      </c>
      <c r="J104" s="1536"/>
      <c r="K104" s="1516"/>
    </row>
    <row r="105" spans="1:11" ht="14.25" customHeight="1"/>
    <row r="106" spans="1:11" ht="14.25" customHeight="1">
      <c r="A106" s="1210"/>
      <c r="B106" s="1210"/>
      <c r="C106" s="1286" t="s">
        <v>1683</v>
      </c>
      <c r="D106" s="1286"/>
      <c r="E106" s="1287"/>
      <c r="F106" s="1286"/>
      <c r="G106" s="524"/>
      <c r="H106" s="537"/>
      <c r="I106" s="529"/>
    </row>
    <row r="107" spans="1:11" ht="14.25" customHeight="1">
      <c r="A107" s="1210"/>
      <c r="B107" s="1210"/>
      <c r="C107" s="1171"/>
      <c r="D107" s="1171"/>
      <c r="E107" s="1172"/>
      <c r="F107" s="1171"/>
      <c r="G107" s="524"/>
      <c r="H107" s="537"/>
      <c r="I107" s="529"/>
    </row>
    <row r="108" spans="1:11" ht="14.25" customHeight="1">
      <c r="A108" s="1130">
        <v>1</v>
      </c>
      <c r="B108" s="1207" t="s">
        <v>23</v>
      </c>
      <c r="C108" s="1205" t="s">
        <v>552</v>
      </c>
      <c r="D108" s="1204"/>
      <c r="E108" s="1206">
        <v>1993</v>
      </c>
      <c r="F108" s="1205" t="s">
        <v>1360</v>
      </c>
      <c r="G108" s="766"/>
      <c r="H108" s="1160"/>
      <c r="I108" s="1138">
        <v>41.42</v>
      </c>
      <c r="J108" s="747" t="s">
        <v>29</v>
      </c>
      <c r="K108" s="1160"/>
    </row>
    <row r="109" spans="1:11" ht="14.25" customHeight="1">
      <c r="A109" s="1130">
        <v>2</v>
      </c>
      <c r="B109" s="1168" t="s">
        <v>27</v>
      </c>
      <c r="C109" s="1205" t="s">
        <v>666</v>
      </c>
      <c r="D109" s="1204"/>
      <c r="E109" s="1206">
        <v>2003</v>
      </c>
      <c r="F109" s="1205" t="s">
        <v>553</v>
      </c>
      <c r="G109" s="766"/>
      <c r="H109" s="1160"/>
      <c r="I109" s="1138">
        <v>43.77</v>
      </c>
      <c r="J109" s="747" t="str">
        <f t="shared" ref="J109:J118" si="0">IF(ISBLANK(I109)," ",IF(ISTEXT(I109)," ",IF(I109&lt;=40,"МСМК",IF(I109&lt;=42,"МС",IF(I109&lt;=43.8,"КМС",IF(I109&lt;=47,"I",IF(I109&lt;=51,"II",IF(I109&lt;=55.2,"III",IF(I109&lt;=59.8,"I юн",IF(I109&lt;=105.4,"II юн",IF(I109&lt;=110.4,"III юн","б/р")))))))))))</f>
        <v>КМС</v>
      </c>
      <c r="K109" s="1160"/>
    </row>
    <row r="110" spans="1:11" ht="14.25" customHeight="1">
      <c r="A110" s="1130">
        <v>3</v>
      </c>
      <c r="B110" s="1207" t="s">
        <v>27</v>
      </c>
      <c r="C110" s="1205" t="s">
        <v>1413</v>
      </c>
      <c r="D110" s="1204"/>
      <c r="E110" s="1206">
        <v>1998</v>
      </c>
      <c r="F110" s="1205" t="s">
        <v>1360</v>
      </c>
      <c r="G110" s="766"/>
      <c r="H110" s="1160"/>
      <c r="I110" s="1138">
        <v>44.15</v>
      </c>
      <c r="J110" s="747" t="str">
        <f t="shared" si="0"/>
        <v>I</v>
      </c>
      <c r="K110" s="1196"/>
    </row>
    <row r="111" spans="1:11" ht="14.25" customHeight="1">
      <c r="A111" s="1130">
        <v>4</v>
      </c>
      <c r="B111" s="1207" t="s">
        <v>27</v>
      </c>
      <c r="C111" s="1205" t="s">
        <v>567</v>
      </c>
      <c r="D111" s="1204"/>
      <c r="E111" s="1206">
        <v>1999</v>
      </c>
      <c r="F111" s="1205" t="s">
        <v>1702</v>
      </c>
      <c r="G111" s="766"/>
      <c r="H111" s="1160"/>
      <c r="I111" s="1138">
        <v>44.31</v>
      </c>
      <c r="J111" s="747" t="str">
        <f t="shared" si="0"/>
        <v>I</v>
      </c>
      <c r="K111" s="765"/>
    </row>
    <row r="112" spans="1:11" ht="14.25" customHeight="1">
      <c r="A112" s="1130">
        <v>5</v>
      </c>
      <c r="B112" s="1207" t="s">
        <v>29</v>
      </c>
      <c r="C112" s="1205" t="s">
        <v>1444</v>
      </c>
      <c r="D112" s="1204"/>
      <c r="E112" s="1206">
        <v>2006</v>
      </c>
      <c r="F112" s="1205" t="s">
        <v>1445</v>
      </c>
      <c r="G112" s="766"/>
      <c r="H112" s="1160"/>
      <c r="I112" s="1138">
        <v>45.82</v>
      </c>
      <c r="J112" s="747" t="str">
        <f t="shared" si="0"/>
        <v>I</v>
      </c>
    </row>
    <row r="113" spans="1:11" ht="14.25" customHeight="1">
      <c r="A113" s="1130">
        <v>6</v>
      </c>
      <c r="B113" s="1201" t="s">
        <v>29</v>
      </c>
      <c r="C113" s="1205" t="s">
        <v>1025</v>
      </c>
      <c r="D113" s="1204"/>
      <c r="E113" s="1206">
        <v>2006</v>
      </c>
      <c r="F113" s="1205" t="s">
        <v>1445</v>
      </c>
      <c r="G113" s="766"/>
      <c r="H113" s="1160"/>
      <c r="I113" s="1138">
        <v>46.45</v>
      </c>
      <c r="J113" s="747" t="str">
        <f t="shared" si="0"/>
        <v>I</v>
      </c>
      <c r="K113" s="1210"/>
    </row>
    <row r="114" spans="1:11" ht="14.25" customHeight="1">
      <c r="A114" s="1130">
        <v>7</v>
      </c>
      <c r="B114" s="1207" t="s">
        <v>27</v>
      </c>
      <c r="C114" s="1205" t="s">
        <v>668</v>
      </c>
      <c r="D114" s="1204"/>
      <c r="E114" s="1206">
        <v>2004</v>
      </c>
      <c r="F114" s="1205" t="s">
        <v>1357</v>
      </c>
      <c r="G114" s="766"/>
      <c r="H114" s="1160"/>
      <c r="I114" s="1138">
        <v>46.96</v>
      </c>
      <c r="J114" s="747" t="str">
        <f t="shared" si="0"/>
        <v>I</v>
      </c>
      <c r="K114" s="765"/>
    </row>
    <row r="115" spans="1:11" ht="14.25" customHeight="1">
      <c r="A115" s="1130">
        <v>8</v>
      </c>
      <c r="B115" s="1207" t="s">
        <v>29</v>
      </c>
      <c r="C115" s="1205" t="s">
        <v>1441</v>
      </c>
      <c r="D115" s="1204"/>
      <c r="E115" s="1206">
        <v>2003</v>
      </c>
      <c r="F115" s="1205" t="s">
        <v>1357</v>
      </c>
      <c r="G115" s="766"/>
      <c r="H115" s="1160"/>
      <c r="I115" s="1138">
        <v>47.32</v>
      </c>
      <c r="J115" s="747" t="str">
        <f t="shared" si="0"/>
        <v>II</v>
      </c>
      <c r="K115" s="1160"/>
    </row>
    <row r="116" spans="1:11" ht="14.25" customHeight="1">
      <c r="A116" s="1130">
        <v>9</v>
      </c>
      <c r="B116" s="1168" t="s">
        <v>29</v>
      </c>
      <c r="C116" s="1205" t="s">
        <v>1366</v>
      </c>
      <c r="D116" s="1204"/>
      <c r="E116" s="1206">
        <v>2006</v>
      </c>
      <c r="F116" s="1205" t="s">
        <v>553</v>
      </c>
      <c r="G116" s="766"/>
      <c r="H116" s="1160"/>
      <c r="I116" s="1138">
        <v>47.89</v>
      </c>
      <c r="J116" s="747" t="str">
        <f t="shared" si="0"/>
        <v>II</v>
      </c>
      <c r="K116" s="1160"/>
    </row>
    <row r="117" spans="1:11" ht="14.25" customHeight="1">
      <c r="A117" s="1130">
        <v>10</v>
      </c>
      <c r="B117" s="1207" t="s">
        <v>1</v>
      </c>
      <c r="C117" s="1205" t="s">
        <v>1435</v>
      </c>
      <c r="D117" s="1204"/>
      <c r="E117" s="1206">
        <v>2003</v>
      </c>
      <c r="F117" s="1205" t="s">
        <v>553</v>
      </c>
      <c r="G117" s="766"/>
      <c r="H117" s="1160"/>
      <c r="I117" s="1138">
        <v>49.39</v>
      </c>
      <c r="J117" s="747" t="str">
        <f t="shared" si="0"/>
        <v>II</v>
      </c>
    </row>
    <row r="118" spans="1:11" ht="14.25" customHeight="1">
      <c r="A118" s="1130">
        <v>11</v>
      </c>
      <c r="B118" s="1207" t="s">
        <v>1</v>
      </c>
      <c r="C118" s="1205" t="s">
        <v>1432</v>
      </c>
      <c r="D118" s="1204"/>
      <c r="E118" s="1206">
        <v>2003</v>
      </c>
      <c r="F118" s="1205" t="s">
        <v>1702</v>
      </c>
      <c r="G118" s="766"/>
      <c r="H118" s="1160"/>
      <c r="I118" s="1138">
        <v>51.01</v>
      </c>
      <c r="J118" s="747" t="str">
        <f t="shared" si="0"/>
        <v>III</v>
      </c>
      <c r="K118" s="1160"/>
    </row>
    <row r="119" spans="1:11" ht="14.25" customHeight="1">
      <c r="A119" s="1130">
        <v>12</v>
      </c>
      <c r="B119" s="1207" t="s">
        <v>13</v>
      </c>
      <c r="C119" s="1205" t="s">
        <v>1358</v>
      </c>
      <c r="D119" s="1204"/>
      <c r="E119" s="1206">
        <v>2006</v>
      </c>
      <c r="F119" s="1205" t="s">
        <v>1357</v>
      </c>
      <c r="G119" s="766"/>
      <c r="H119" s="1160"/>
      <c r="I119" s="1138" t="s">
        <v>1623</v>
      </c>
      <c r="J119" s="747" t="s">
        <v>1636</v>
      </c>
      <c r="K119" s="1160"/>
    </row>
    <row r="120" spans="1:11" ht="14.25" customHeight="1">
      <c r="A120" s="1130"/>
      <c r="B120" s="1207" t="s">
        <v>29</v>
      </c>
      <c r="C120" s="1205" t="s">
        <v>1434</v>
      </c>
      <c r="D120" s="1204"/>
      <c r="E120" s="1206">
        <v>2003</v>
      </c>
      <c r="F120" s="1205" t="s">
        <v>1357</v>
      </c>
      <c r="G120" s="766"/>
      <c r="H120" s="1160"/>
      <c r="I120" s="1138" t="s">
        <v>1622</v>
      </c>
      <c r="J120" s="1270"/>
      <c r="K120" s="1160"/>
    </row>
    <row r="121" spans="1:11" ht="14.25" customHeight="1">
      <c r="A121" s="1130"/>
      <c r="B121" s="1207"/>
      <c r="C121" s="1205"/>
      <c r="D121" s="1204"/>
      <c r="E121" s="1206"/>
      <c r="F121" s="1205"/>
      <c r="G121" s="766"/>
      <c r="H121" s="1160"/>
      <c r="J121" s="1270"/>
      <c r="K121" s="1160"/>
    </row>
    <row r="122" spans="1:11" ht="14.25" customHeight="1">
      <c r="A122" s="1130"/>
      <c r="B122" s="1207"/>
      <c r="C122" s="1143" t="s">
        <v>1684</v>
      </c>
      <c r="D122" s="1284"/>
      <c r="E122" s="1285"/>
      <c r="F122" s="1143"/>
      <c r="G122" s="524"/>
      <c r="H122" s="1160"/>
      <c r="J122" s="1270"/>
      <c r="K122" s="1196"/>
    </row>
    <row r="123" spans="1:11" ht="14.25" customHeight="1">
      <c r="A123" s="1130"/>
      <c r="B123" s="1207"/>
      <c r="C123" s="524"/>
      <c r="D123" s="525"/>
      <c r="E123" s="526"/>
      <c r="F123" s="524"/>
      <c r="G123" s="524"/>
      <c r="H123" s="1160"/>
      <c r="J123" s="1270"/>
      <c r="K123" s="1196"/>
    </row>
    <row r="124" spans="1:11" ht="14.25" customHeight="1">
      <c r="A124" s="1130">
        <v>1</v>
      </c>
      <c r="B124" s="1207" t="s">
        <v>25</v>
      </c>
      <c r="C124" s="1204" t="s">
        <v>566</v>
      </c>
      <c r="D124" s="1155"/>
      <c r="E124" s="1206">
        <v>1998</v>
      </c>
      <c r="F124" s="1205" t="s">
        <v>1344</v>
      </c>
      <c r="G124" s="1179"/>
      <c r="H124" s="1163"/>
      <c r="I124" s="1138">
        <v>36.35</v>
      </c>
      <c r="J124" s="747" t="s">
        <v>29</v>
      </c>
      <c r="K124" s="1196"/>
    </row>
    <row r="125" spans="1:11" ht="14.25" customHeight="1">
      <c r="A125" s="1130">
        <v>2</v>
      </c>
      <c r="B125" s="1207" t="s">
        <v>25</v>
      </c>
      <c r="C125" s="1169" t="s">
        <v>619</v>
      </c>
      <c r="D125" s="1155"/>
      <c r="E125" s="1206">
        <v>1995</v>
      </c>
      <c r="F125" s="1205" t="s">
        <v>1360</v>
      </c>
      <c r="G125" s="1179"/>
      <c r="H125" s="1160"/>
      <c r="I125" s="1138">
        <v>36.57</v>
      </c>
      <c r="J125" s="747" t="s">
        <v>29</v>
      </c>
      <c r="K125" s="1160"/>
    </row>
    <row r="126" spans="1:11" ht="14.25" customHeight="1">
      <c r="A126" s="1130">
        <v>3</v>
      </c>
      <c r="B126" s="1202" t="s">
        <v>25</v>
      </c>
      <c r="C126" s="1204" t="s">
        <v>600</v>
      </c>
      <c r="D126" s="1155"/>
      <c r="E126" s="1206">
        <v>1997</v>
      </c>
      <c r="F126" s="1205" t="s">
        <v>1360</v>
      </c>
      <c r="G126" s="1179"/>
      <c r="H126" s="1160"/>
      <c r="I126" s="1138">
        <v>36.67</v>
      </c>
      <c r="J126" s="747" t="s">
        <v>29</v>
      </c>
      <c r="K126" s="1196"/>
    </row>
    <row r="127" spans="1:11" ht="14.25" customHeight="1">
      <c r="A127" s="1130">
        <v>4</v>
      </c>
      <c r="B127" s="1168" t="s">
        <v>29</v>
      </c>
      <c r="C127" s="1204" t="s">
        <v>997</v>
      </c>
      <c r="D127" s="1155"/>
      <c r="E127" s="1206">
        <v>2006</v>
      </c>
      <c r="F127" s="1205" t="s">
        <v>1344</v>
      </c>
      <c r="G127" s="1179"/>
      <c r="H127" s="1160"/>
      <c r="I127" s="1138">
        <v>38.1</v>
      </c>
      <c r="J127" s="747" t="str">
        <f t="shared" ref="J127:J139" si="1">IF(ISBLANK(I127)," ",IF(ISTEXT(I127)," ",IF(I127&lt;=36,"МСМК",IF(I127&lt;=37.8,"МС",IF(I127&lt;=39.4,"КМС",IF(I127&lt;=42.3,"I",IF(I127&lt;=45.9,"II",IF(I127&lt;=49.8,"III",IF(I127&lt;=54.6,"I юн",IF(I127&lt;=59.6,"II юн",IF(I127&lt;=104.6,"III юн","б/р")))))))))))</f>
        <v>КМС</v>
      </c>
      <c r="K127" s="1196"/>
    </row>
    <row r="128" spans="1:11" ht="14.25" customHeight="1">
      <c r="A128" s="1130">
        <v>5</v>
      </c>
      <c r="B128" s="1201" t="s">
        <v>27</v>
      </c>
      <c r="C128" s="1205" t="s">
        <v>1467</v>
      </c>
      <c r="D128" s="1204"/>
      <c r="E128" s="1206">
        <v>2004</v>
      </c>
      <c r="F128" s="23" t="s">
        <v>1445</v>
      </c>
      <c r="G128" s="1179"/>
      <c r="H128" s="1160"/>
      <c r="I128" s="1138">
        <v>38.14</v>
      </c>
      <c r="J128" s="747" t="str">
        <f t="shared" si="1"/>
        <v>КМС</v>
      </c>
      <c r="K128" s="1196"/>
    </row>
    <row r="129" spans="1:11" ht="14.25" customHeight="1">
      <c r="A129" s="1130">
        <v>6</v>
      </c>
      <c r="B129" s="1207" t="s">
        <v>29</v>
      </c>
      <c r="C129" s="1205" t="s">
        <v>1416</v>
      </c>
      <c r="D129" s="1204"/>
      <c r="E129" s="1206">
        <v>2003</v>
      </c>
      <c r="F129" s="1205" t="s">
        <v>1360</v>
      </c>
      <c r="G129" s="766"/>
      <c r="H129" s="1160"/>
      <c r="I129" s="1138">
        <v>38.700000000000003</v>
      </c>
      <c r="J129" s="747" t="str">
        <f t="shared" si="1"/>
        <v>КМС</v>
      </c>
      <c r="K129" s="1170"/>
    </row>
    <row r="130" spans="1:11" ht="14.25" customHeight="1">
      <c r="A130" s="1130">
        <v>7</v>
      </c>
      <c r="B130" s="1207" t="s">
        <v>29</v>
      </c>
      <c r="C130" s="1205" t="s">
        <v>1348</v>
      </c>
      <c r="D130" s="1204"/>
      <c r="E130" s="1206">
        <v>2003</v>
      </c>
      <c r="F130" s="1205" t="s">
        <v>1344</v>
      </c>
      <c r="G130" s="766"/>
      <c r="H130" s="1160"/>
      <c r="I130" s="1138">
        <v>39.119999999999997</v>
      </c>
      <c r="J130" s="747" t="str">
        <f t="shared" si="1"/>
        <v>КМС</v>
      </c>
      <c r="K130" s="1160"/>
    </row>
    <row r="131" spans="1:11" ht="14.25" customHeight="1">
      <c r="A131" s="1130">
        <v>8</v>
      </c>
      <c r="B131" s="1207" t="s">
        <v>27</v>
      </c>
      <c r="C131" s="1205" t="s">
        <v>1388</v>
      </c>
      <c r="D131" s="1204"/>
      <c r="E131" s="1206">
        <v>2002</v>
      </c>
      <c r="F131" s="1205" t="s">
        <v>1344</v>
      </c>
      <c r="G131" s="766"/>
      <c r="H131" s="1160"/>
      <c r="I131" s="1138">
        <v>41.32</v>
      </c>
      <c r="J131" s="747" t="str">
        <f t="shared" si="1"/>
        <v>I</v>
      </c>
      <c r="K131" s="1160"/>
    </row>
    <row r="132" spans="1:11" ht="14.25" customHeight="1">
      <c r="A132" s="1130">
        <v>9</v>
      </c>
      <c r="B132" s="1168" t="s">
        <v>29</v>
      </c>
      <c r="C132" s="1204" t="s">
        <v>1474</v>
      </c>
      <c r="D132" s="1155"/>
      <c r="E132" s="1206">
        <v>2006</v>
      </c>
      <c r="F132" s="1215" t="s">
        <v>1433</v>
      </c>
      <c r="G132" s="1179"/>
      <c r="H132" s="1160"/>
      <c r="I132" s="1138">
        <v>41.32</v>
      </c>
      <c r="J132" s="747" t="str">
        <f t="shared" si="1"/>
        <v>I</v>
      </c>
      <c r="K132" s="1170"/>
    </row>
    <row r="133" spans="1:11" ht="14.25" customHeight="1">
      <c r="A133" s="1130">
        <v>10</v>
      </c>
      <c r="B133" s="1207" t="s">
        <v>29</v>
      </c>
      <c r="C133" s="1205" t="s">
        <v>1468</v>
      </c>
      <c r="D133" s="1204" t="s">
        <v>433</v>
      </c>
      <c r="E133" s="1206">
        <v>2004</v>
      </c>
      <c r="F133" s="1215" t="s">
        <v>1445</v>
      </c>
      <c r="G133" s="1179"/>
      <c r="H133" s="1160"/>
      <c r="I133" s="1138">
        <v>41.46</v>
      </c>
      <c r="J133" s="747" t="str">
        <f t="shared" si="1"/>
        <v>I</v>
      </c>
      <c r="K133" s="1160"/>
    </row>
    <row r="134" spans="1:11" ht="14.25" customHeight="1">
      <c r="A134" s="1130">
        <v>11</v>
      </c>
      <c r="B134" s="1207" t="s">
        <v>1</v>
      </c>
      <c r="C134" s="1204" t="s">
        <v>1472</v>
      </c>
      <c r="D134" s="1155"/>
      <c r="E134" s="1206">
        <v>2005</v>
      </c>
      <c r="F134" s="1215" t="s">
        <v>553</v>
      </c>
      <c r="G134" s="1179"/>
      <c r="H134" s="1160"/>
      <c r="I134" s="1138">
        <v>41.53</v>
      </c>
      <c r="J134" s="747" t="str">
        <f t="shared" si="1"/>
        <v>I</v>
      </c>
      <c r="K134" s="1138"/>
    </row>
    <row r="135" spans="1:11" ht="14.25" customHeight="1">
      <c r="A135" s="1130">
        <v>12</v>
      </c>
      <c r="B135" s="1207" t="s">
        <v>1</v>
      </c>
      <c r="C135" s="1204" t="s">
        <v>1013</v>
      </c>
      <c r="D135" s="1155"/>
      <c r="E135" s="1206">
        <v>2005</v>
      </c>
      <c r="F135" s="1215" t="s">
        <v>553</v>
      </c>
      <c r="G135" s="1179"/>
      <c r="H135" s="1160"/>
      <c r="I135" s="1138">
        <v>41.81</v>
      </c>
      <c r="J135" s="747" t="str">
        <f t="shared" si="1"/>
        <v>I</v>
      </c>
      <c r="K135" s="1160"/>
    </row>
    <row r="136" spans="1:11" ht="14.25" customHeight="1">
      <c r="A136" s="1130">
        <v>13</v>
      </c>
      <c r="B136" s="1207" t="s">
        <v>29</v>
      </c>
      <c r="C136" s="1205" t="s">
        <v>1389</v>
      </c>
      <c r="D136" s="1204"/>
      <c r="E136" s="1207">
        <v>2001</v>
      </c>
      <c r="F136" s="1205" t="s">
        <v>1344</v>
      </c>
      <c r="G136" s="766"/>
      <c r="H136" s="1160"/>
      <c r="I136" s="1138">
        <v>41.88</v>
      </c>
      <c r="J136" s="747" t="str">
        <f t="shared" si="1"/>
        <v>I</v>
      </c>
      <c r="K136" s="1160"/>
    </row>
    <row r="137" spans="1:11" ht="14.25" customHeight="1">
      <c r="A137" s="1130">
        <v>14</v>
      </c>
      <c r="B137" s="1207" t="s">
        <v>1</v>
      </c>
      <c r="C137" s="1205" t="s">
        <v>1469</v>
      </c>
      <c r="D137" s="1204"/>
      <c r="E137" s="1206">
        <v>2005</v>
      </c>
      <c r="F137" s="1215" t="s">
        <v>1445</v>
      </c>
      <c r="G137" s="1179"/>
      <c r="H137" s="1160"/>
      <c r="I137" s="1138">
        <v>43.34</v>
      </c>
      <c r="J137" s="747" t="str">
        <f t="shared" si="1"/>
        <v>II</v>
      </c>
      <c r="K137" s="1137"/>
    </row>
    <row r="138" spans="1:11" ht="14.25" customHeight="1">
      <c r="A138" s="1130">
        <v>15</v>
      </c>
      <c r="B138" s="1207" t="s">
        <v>1</v>
      </c>
      <c r="C138" s="1205" t="s">
        <v>1375</v>
      </c>
      <c r="D138" s="1205"/>
      <c r="E138" s="1206">
        <v>2002</v>
      </c>
      <c r="F138" s="1205" t="s">
        <v>1357</v>
      </c>
      <c r="G138" s="766"/>
      <c r="H138" s="1160"/>
      <c r="I138" s="1138">
        <v>44.23</v>
      </c>
      <c r="J138" s="747" t="str">
        <f t="shared" si="1"/>
        <v>II</v>
      </c>
      <c r="K138" s="1160"/>
    </row>
    <row r="139" spans="1:11" ht="14.25" customHeight="1">
      <c r="A139" s="1130">
        <v>16</v>
      </c>
      <c r="B139" s="1207" t="s">
        <v>29</v>
      </c>
      <c r="C139" s="1205" t="s">
        <v>1390</v>
      </c>
      <c r="D139" s="1205"/>
      <c r="E139" s="1206">
        <v>2003</v>
      </c>
      <c r="F139" s="1205" t="s">
        <v>1344</v>
      </c>
      <c r="G139" s="766"/>
      <c r="H139" s="1163"/>
      <c r="I139" s="1138">
        <v>44.8</v>
      </c>
      <c r="J139" s="747" t="str">
        <f t="shared" si="1"/>
        <v>II</v>
      </c>
      <c r="K139" s="1134"/>
    </row>
    <row r="140" spans="1:11" ht="14.25" customHeight="1">
      <c r="A140" s="1130">
        <v>17</v>
      </c>
      <c r="B140" s="1168" t="s">
        <v>13</v>
      </c>
      <c r="C140" s="1205" t="s">
        <v>1386</v>
      </c>
      <c r="D140" s="1204"/>
      <c r="E140" s="1206">
        <v>2006</v>
      </c>
      <c r="F140" s="1215" t="s">
        <v>553</v>
      </c>
      <c r="G140" s="1179"/>
      <c r="H140" s="1160"/>
      <c r="I140" s="1138">
        <v>49.68</v>
      </c>
      <c r="J140" s="747" t="str">
        <f>IF(ISBLANK(I140)," ",IF(ISTEXT(I140)," ",IF(I140&lt;=36,"МСМК",IF(I140&lt;=37.8,"МС",IF(I140&lt;=39.4,"КМС",IF(I140&lt;=42.3,"I",IF(I140&lt;=45.9,"II",IF(I140&lt;=49.8,"III",IF(I140&lt;=54.6,"I юн",IF(I140&lt;=59.6,"II юн",IF(I140&lt;=104.6,"III юн","б/р")))))))))))</f>
        <v>III</v>
      </c>
      <c r="K140" s="1134"/>
    </row>
    <row r="141" spans="1:11" ht="14.25" customHeight="1">
      <c r="A141" s="1130"/>
      <c r="B141" s="1198" t="s">
        <v>29</v>
      </c>
      <c r="C141" s="1199" t="s">
        <v>1353</v>
      </c>
      <c r="D141" s="1200"/>
      <c r="E141" s="1191">
        <v>2007</v>
      </c>
      <c r="F141" s="1213" t="s">
        <v>1448</v>
      </c>
      <c r="G141" s="1279"/>
      <c r="H141" s="1214"/>
      <c r="I141" s="1273">
        <v>41.38</v>
      </c>
      <c r="J141" s="1280" t="str">
        <f>IF(ISBLANK(I141)," ",IF(ISTEXT(I141)," ",IF(I141&lt;=36,"МСМК",IF(I141&lt;=37.8,"МС",IF(I141&lt;=39.4,"КМС",IF(I141&lt;=42.3,"I",IF(I141&lt;=45.9,"II",IF(I141&lt;=49.8,"III",IF(I141&lt;=54.6,"I юн",IF(I141&lt;=59.6,"II юн",IF(I141&lt;=104.6,"III юн","б/р")))))))))))</f>
        <v>I</v>
      </c>
      <c r="K141" s="1196"/>
    </row>
    <row r="142" spans="1:11" ht="14.25" customHeight="1">
      <c r="A142" s="1130"/>
      <c r="B142" s="1198" t="s">
        <v>1</v>
      </c>
      <c r="C142" s="1199" t="s">
        <v>1354</v>
      </c>
      <c r="D142" s="1200"/>
      <c r="E142" s="1191">
        <v>2007</v>
      </c>
      <c r="F142" s="1213" t="s">
        <v>1350</v>
      </c>
      <c r="G142" s="1213"/>
      <c r="H142" s="1214"/>
      <c r="I142" s="1273">
        <v>41.78</v>
      </c>
      <c r="J142" s="1280" t="str">
        <f>IF(ISBLANK(I142)," ",IF(ISTEXT(I142)," ",IF(I142&lt;=36,"МСМК",IF(I142&lt;=37.8,"МС",IF(I142&lt;=39.4,"КМС",IF(I142&lt;=42.3,"I",IF(I142&lt;=45.9,"II",IF(I142&lt;=49.8,"III",IF(I142&lt;=54.6,"I юн",IF(I142&lt;=59.6,"II юн",IF(I142&lt;=104.6,"III юн","б/р")))))))))))</f>
        <v>I</v>
      </c>
      <c r="K142" s="1170"/>
    </row>
    <row r="143" spans="1:11" ht="14.25" customHeight="1">
      <c r="A143" s="1130"/>
      <c r="B143" s="1197"/>
      <c r="C143" s="767"/>
      <c r="D143" s="1204"/>
      <c r="E143" s="1203"/>
      <c r="F143" s="766"/>
      <c r="G143" s="766"/>
      <c r="H143" s="1160"/>
      <c r="I143" s="1138"/>
      <c r="J143" s="747"/>
      <c r="K143" s="1170"/>
    </row>
    <row r="144" spans="1:11" ht="14.25" customHeight="1">
      <c r="A144" s="57"/>
      <c r="B144" s="535"/>
      <c r="C144" s="1143" t="s">
        <v>1685</v>
      </c>
      <c r="D144" s="134"/>
      <c r="E144" s="134"/>
      <c r="F144" s="134"/>
      <c r="G144" s="542"/>
      <c r="H144" s="1164"/>
      <c r="I144" s="1138"/>
      <c r="J144" s="1270"/>
      <c r="K144" s="1196"/>
    </row>
    <row r="145" spans="1:11" ht="14.25" customHeight="1">
      <c r="A145" s="1130"/>
      <c r="B145" s="1207"/>
      <c r="C145" s="1157"/>
      <c r="D145" s="1210"/>
      <c r="E145" s="1129"/>
      <c r="F145" s="1215"/>
      <c r="G145" s="1210"/>
      <c r="H145" s="1137"/>
      <c r="I145" s="1138"/>
      <c r="J145" s="1270"/>
      <c r="K145" s="1170"/>
    </row>
    <row r="146" spans="1:11" ht="14.25" customHeight="1">
      <c r="A146" s="1130">
        <v>1</v>
      </c>
      <c r="B146" s="1207" t="s">
        <v>27</v>
      </c>
      <c r="C146" s="1517" t="s">
        <v>995</v>
      </c>
      <c r="D146" s="1517"/>
      <c r="E146" s="1206">
        <v>2005</v>
      </c>
      <c r="F146" s="1215" t="s">
        <v>1424</v>
      </c>
      <c r="G146" s="766"/>
      <c r="H146" s="1160"/>
      <c r="I146" s="1138">
        <v>49.03</v>
      </c>
      <c r="J146" s="747" t="s">
        <v>29</v>
      </c>
      <c r="K146" s="1170"/>
    </row>
    <row r="147" spans="1:11" ht="14.25" customHeight="1">
      <c r="A147" s="1130">
        <v>2</v>
      </c>
      <c r="B147" s="1207" t="s">
        <v>25</v>
      </c>
      <c r="C147" s="1205" t="s">
        <v>654</v>
      </c>
      <c r="D147" s="1204"/>
      <c r="E147" s="1206">
        <v>1999</v>
      </c>
      <c r="F147" s="1289" t="s">
        <v>1424</v>
      </c>
      <c r="G147" s="766"/>
      <c r="H147" s="1160"/>
      <c r="I147" s="1138">
        <v>49.39</v>
      </c>
      <c r="J147" s="747" t="s">
        <v>29</v>
      </c>
      <c r="K147" s="1196"/>
    </row>
    <row r="148" spans="1:11" ht="14.25" customHeight="1">
      <c r="A148" s="1130">
        <v>3</v>
      </c>
      <c r="B148" s="1207" t="s">
        <v>27</v>
      </c>
      <c r="C148" s="1205" t="s">
        <v>1347</v>
      </c>
      <c r="D148" s="1204"/>
      <c r="E148" s="1206">
        <v>2003</v>
      </c>
      <c r="F148" s="1289" t="s">
        <v>1445</v>
      </c>
      <c r="G148" s="766"/>
      <c r="H148" s="1160"/>
      <c r="I148" s="1138">
        <v>49.97</v>
      </c>
      <c r="J148" s="747" t="s">
        <v>29</v>
      </c>
      <c r="K148" s="1170"/>
    </row>
    <row r="149" spans="1:11" ht="14.25" customHeight="1">
      <c r="A149" s="1130">
        <v>4</v>
      </c>
      <c r="B149" s="1207" t="s">
        <v>27</v>
      </c>
      <c r="C149" s="1205" t="s">
        <v>1359</v>
      </c>
      <c r="D149" s="1204"/>
      <c r="E149" s="1206">
        <v>2003</v>
      </c>
      <c r="F149" s="1289" t="s">
        <v>1360</v>
      </c>
      <c r="G149" s="766"/>
      <c r="H149" s="1160"/>
      <c r="I149" s="1138">
        <v>50.97</v>
      </c>
      <c r="J149" s="747" t="s">
        <v>29</v>
      </c>
      <c r="K149" s="1170"/>
    </row>
    <row r="150" spans="1:11" ht="14.25" customHeight="1">
      <c r="A150" s="1130">
        <v>5</v>
      </c>
      <c r="B150" s="1207" t="s">
        <v>27</v>
      </c>
      <c r="C150" s="1205" t="s">
        <v>1361</v>
      </c>
      <c r="D150" s="1204"/>
      <c r="E150" s="1206">
        <v>2004</v>
      </c>
      <c r="F150" s="1215" t="s">
        <v>1360</v>
      </c>
      <c r="G150" s="766"/>
      <c r="H150" s="1160"/>
      <c r="I150" s="1138">
        <v>51.24</v>
      </c>
      <c r="J150" s="747" t="str">
        <f t="shared" ref="J150:J164" si="2">IF(ISBLANK(I150)," ",IF(ISTEXT(I150)," ",IF(I150&lt;=48.1,"МСМК",IF(I150&lt;=51,"МС",IF(I150&lt;=53.3,"КМС",IF(I150&lt;=57.3,"I",IF(I150&lt;=101.9,"II",IF(I150&lt;=107.8,"III",IF(I150&lt;=113.5,"I юн",IF(I150&lt;=119.6,"II юн",IF(I150&lt;=126,"III юн","б/р")))))))))))</f>
        <v>КМС</v>
      </c>
      <c r="K150" s="1160"/>
    </row>
    <row r="151" spans="1:11" ht="14.25" customHeight="1">
      <c r="A151" s="1130">
        <v>6</v>
      </c>
      <c r="B151" s="1168" t="s">
        <v>27</v>
      </c>
      <c r="C151" s="1205" t="s">
        <v>1489</v>
      </c>
      <c r="D151" s="1204"/>
      <c r="E151" s="1206">
        <v>2005</v>
      </c>
      <c r="F151" s="1215" t="s">
        <v>553</v>
      </c>
      <c r="G151" s="766"/>
      <c r="H151" s="1160"/>
      <c r="I151" s="1138">
        <v>51.54</v>
      </c>
      <c r="J151" s="747" t="str">
        <f t="shared" si="2"/>
        <v>КМС</v>
      </c>
      <c r="K151" s="1196"/>
    </row>
    <row r="152" spans="1:11" ht="14.25" customHeight="1">
      <c r="A152" s="1130">
        <v>7</v>
      </c>
      <c r="B152" s="1207" t="s">
        <v>29</v>
      </c>
      <c r="C152" s="1205" t="s">
        <v>1493</v>
      </c>
      <c r="D152" s="1204"/>
      <c r="E152" s="1206">
        <v>2003</v>
      </c>
      <c r="F152" s="1215" t="s">
        <v>1494</v>
      </c>
      <c r="G152" s="766"/>
      <c r="H152" s="1160"/>
      <c r="I152" s="1138">
        <v>52.02</v>
      </c>
      <c r="J152" s="747" t="str">
        <f t="shared" si="2"/>
        <v>КМС</v>
      </c>
      <c r="K152" s="1170"/>
    </row>
    <row r="153" spans="1:11" ht="14.25" customHeight="1">
      <c r="A153" s="1130">
        <v>8</v>
      </c>
      <c r="B153" s="1168" t="s">
        <v>29</v>
      </c>
      <c r="C153" s="1205" t="s">
        <v>1404</v>
      </c>
      <c r="D153" s="1204"/>
      <c r="E153" s="1206">
        <v>2005</v>
      </c>
      <c r="F153" s="1215" t="s">
        <v>553</v>
      </c>
      <c r="G153" s="766"/>
      <c r="H153" s="1160"/>
      <c r="I153" s="1138">
        <v>52.29</v>
      </c>
      <c r="J153" s="747" t="str">
        <f t="shared" si="2"/>
        <v>КМС</v>
      </c>
      <c r="K153" s="1170"/>
    </row>
    <row r="154" spans="1:11" ht="14.25" customHeight="1">
      <c r="A154" s="1130">
        <v>9</v>
      </c>
      <c r="B154" s="1207" t="s">
        <v>25</v>
      </c>
      <c r="C154" s="1205" t="s">
        <v>580</v>
      </c>
      <c r="D154" s="1204"/>
      <c r="E154" s="1206">
        <v>1998</v>
      </c>
      <c r="F154" s="1289" t="s">
        <v>1360</v>
      </c>
      <c r="G154" s="766"/>
      <c r="H154" s="1160"/>
      <c r="I154" s="1138">
        <v>52.46</v>
      </c>
      <c r="J154" s="747" t="str">
        <f t="shared" si="2"/>
        <v>КМС</v>
      </c>
      <c r="K154" s="1170"/>
    </row>
    <row r="155" spans="1:11" ht="14.25" customHeight="1">
      <c r="A155" s="1130">
        <v>10</v>
      </c>
      <c r="B155" s="1207" t="s">
        <v>27</v>
      </c>
      <c r="C155" s="1205" t="s">
        <v>1423</v>
      </c>
      <c r="D155" s="1204"/>
      <c r="E155" s="1206">
        <v>2002</v>
      </c>
      <c r="F155" s="1205" t="s">
        <v>1357</v>
      </c>
      <c r="G155" s="766"/>
      <c r="H155" s="1160"/>
      <c r="I155" s="1138">
        <v>52.55</v>
      </c>
      <c r="J155" s="747" t="str">
        <f t="shared" si="2"/>
        <v>КМС</v>
      </c>
      <c r="K155" s="1196"/>
    </row>
    <row r="156" spans="1:11" ht="14.25" customHeight="1">
      <c r="A156" s="1130">
        <v>11</v>
      </c>
      <c r="B156" s="1207" t="s">
        <v>27</v>
      </c>
      <c r="C156" s="1205" t="s">
        <v>1426</v>
      </c>
      <c r="D156" s="1204"/>
      <c r="E156" s="1206">
        <v>2000</v>
      </c>
      <c r="F156" s="1289" t="s">
        <v>1360</v>
      </c>
      <c r="G156" s="766"/>
      <c r="H156" s="1160"/>
      <c r="I156" s="1138">
        <v>52.79</v>
      </c>
      <c r="J156" s="747" t="str">
        <f t="shared" si="2"/>
        <v>КМС</v>
      </c>
      <c r="K156" s="1196"/>
    </row>
    <row r="157" spans="1:11" ht="14.25" customHeight="1">
      <c r="A157" s="1130">
        <v>12</v>
      </c>
      <c r="B157" s="1168" t="s">
        <v>29</v>
      </c>
      <c r="C157" s="1205" t="s">
        <v>1488</v>
      </c>
      <c r="D157" s="1204"/>
      <c r="E157" s="1206">
        <v>2005</v>
      </c>
      <c r="F157" s="1215" t="s">
        <v>553</v>
      </c>
      <c r="G157" s="766"/>
      <c r="H157" s="1160"/>
      <c r="I157" s="1138">
        <v>53.56</v>
      </c>
      <c r="J157" s="747" t="str">
        <f t="shared" si="2"/>
        <v>I</v>
      </c>
      <c r="K157" s="1196"/>
    </row>
    <row r="158" spans="1:11" ht="14.25" customHeight="1">
      <c r="A158" s="1130">
        <v>13</v>
      </c>
      <c r="B158" s="1207" t="s">
        <v>29</v>
      </c>
      <c r="C158" s="1205" t="s">
        <v>1362</v>
      </c>
      <c r="D158" s="1204"/>
      <c r="E158" s="1206">
        <v>2004</v>
      </c>
      <c r="F158" s="1215" t="s">
        <v>1360</v>
      </c>
      <c r="G158" s="766"/>
      <c r="H158" s="1160"/>
      <c r="I158" s="1138">
        <v>54.39</v>
      </c>
      <c r="J158" s="747" t="str">
        <f t="shared" si="2"/>
        <v>I</v>
      </c>
      <c r="K158" s="1170"/>
    </row>
    <row r="159" spans="1:11" ht="14.25" customHeight="1">
      <c r="A159" s="1130">
        <v>14</v>
      </c>
      <c r="B159" s="1168" t="s">
        <v>29</v>
      </c>
      <c r="C159" s="1205" t="s">
        <v>1363</v>
      </c>
      <c r="D159" s="1204"/>
      <c r="E159" s="1206">
        <v>2005</v>
      </c>
      <c r="F159" s="1215" t="s">
        <v>553</v>
      </c>
      <c r="G159" s="766"/>
      <c r="H159" s="1160"/>
      <c r="I159" s="1138">
        <v>54.91</v>
      </c>
      <c r="J159" s="747" t="str">
        <f t="shared" si="2"/>
        <v>I</v>
      </c>
      <c r="K159" s="1196"/>
    </row>
    <row r="160" spans="1:11" ht="14.25" customHeight="1">
      <c r="A160" s="1130">
        <v>15</v>
      </c>
      <c r="B160" s="1207" t="s">
        <v>29</v>
      </c>
      <c r="C160" s="1205" t="s">
        <v>1414</v>
      </c>
      <c r="D160" s="1204"/>
      <c r="E160" s="1206">
        <v>2001</v>
      </c>
      <c r="F160" s="1289" t="s">
        <v>553</v>
      </c>
      <c r="G160" s="766"/>
      <c r="H160" s="1160"/>
      <c r="I160" s="1138">
        <v>55.14</v>
      </c>
      <c r="J160" s="747" t="str">
        <f t="shared" si="2"/>
        <v>I</v>
      </c>
      <c r="K160" s="1170"/>
    </row>
    <row r="161" spans="1:11" ht="14.25" customHeight="1">
      <c r="A161" s="1130">
        <v>16</v>
      </c>
      <c r="B161" s="1207" t="s">
        <v>29</v>
      </c>
      <c r="C161" s="1205" t="s">
        <v>1422</v>
      </c>
      <c r="D161" s="1204"/>
      <c r="E161" s="1206">
        <v>2004</v>
      </c>
      <c r="F161" s="1205" t="s">
        <v>1357</v>
      </c>
      <c r="G161" s="766"/>
      <c r="H161" s="1160"/>
      <c r="I161" s="1138">
        <v>56.54</v>
      </c>
      <c r="J161" s="747" t="str">
        <f t="shared" si="2"/>
        <v>I</v>
      </c>
      <c r="K161" s="1170"/>
    </row>
    <row r="162" spans="1:11" ht="14.25" customHeight="1">
      <c r="A162" s="1130">
        <v>17</v>
      </c>
      <c r="B162" s="1207" t="s">
        <v>1</v>
      </c>
      <c r="C162" s="1205" t="s">
        <v>1491</v>
      </c>
      <c r="D162" s="1204"/>
      <c r="E162" s="1206">
        <v>2005</v>
      </c>
      <c r="F162" s="1215" t="s">
        <v>1360</v>
      </c>
      <c r="G162" s="766"/>
      <c r="H162" s="1160"/>
      <c r="I162" s="1138">
        <v>57.89</v>
      </c>
      <c r="J162" s="747" t="str">
        <f t="shared" si="2"/>
        <v>II</v>
      </c>
      <c r="K162" s="1196"/>
    </row>
    <row r="163" spans="1:11" ht="14.25" customHeight="1">
      <c r="A163" s="1130">
        <v>18</v>
      </c>
      <c r="B163" s="1207" t="s">
        <v>1</v>
      </c>
      <c r="C163" s="1205" t="s">
        <v>1412</v>
      </c>
      <c r="D163" s="1204"/>
      <c r="E163" s="1206">
        <v>2006</v>
      </c>
      <c r="F163" s="1215" t="s">
        <v>1372</v>
      </c>
      <c r="G163" s="766"/>
      <c r="H163" s="1160"/>
      <c r="I163" s="1138">
        <v>57.99</v>
      </c>
      <c r="J163" s="747" t="str">
        <f t="shared" si="2"/>
        <v>II</v>
      </c>
      <c r="K163" s="1196"/>
    </row>
    <row r="164" spans="1:11" ht="14.25" customHeight="1">
      <c r="A164" s="1130">
        <v>19</v>
      </c>
      <c r="B164" s="1168" t="s">
        <v>29</v>
      </c>
      <c r="C164" s="1205" t="s">
        <v>1366</v>
      </c>
      <c r="D164" s="1204"/>
      <c r="E164" s="1206">
        <v>2006</v>
      </c>
      <c r="F164" s="1215" t="s">
        <v>553</v>
      </c>
      <c r="G164" s="766"/>
      <c r="H164" s="1160"/>
      <c r="I164" s="1138">
        <v>58.63</v>
      </c>
      <c r="J164" s="747" t="str">
        <f t="shared" si="2"/>
        <v>II</v>
      </c>
      <c r="K164" s="1170"/>
    </row>
    <row r="165" spans="1:11" ht="14.25" customHeight="1">
      <c r="A165" s="1130">
        <v>20</v>
      </c>
      <c r="B165" s="1201" t="s">
        <v>29</v>
      </c>
      <c r="C165" s="1205" t="s">
        <v>1025</v>
      </c>
      <c r="D165" s="1204"/>
      <c r="E165" s="1206">
        <v>2006</v>
      </c>
      <c r="F165" s="1215" t="s">
        <v>1445</v>
      </c>
      <c r="G165" s="766"/>
      <c r="H165" s="1160"/>
      <c r="I165" s="1138" t="s">
        <v>1627</v>
      </c>
      <c r="J165" s="747" t="s">
        <v>1620</v>
      </c>
      <c r="K165" s="1170"/>
    </row>
    <row r="166" spans="1:11" ht="14.25" customHeight="1">
      <c r="A166" s="1130">
        <v>21</v>
      </c>
      <c r="B166" s="1168" t="s">
        <v>14</v>
      </c>
      <c r="C166" s="1205" t="s">
        <v>1490</v>
      </c>
      <c r="D166" s="1204"/>
      <c r="E166" s="1206">
        <v>2005</v>
      </c>
      <c r="F166" s="1215" t="s">
        <v>553</v>
      </c>
      <c r="G166" s="766"/>
      <c r="H166" s="1160"/>
      <c r="I166" s="1138" t="s">
        <v>1625</v>
      </c>
      <c r="J166" s="747" t="s">
        <v>1620</v>
      </c>
      <c r="K166" s="1170"/>
    </row>
    <row r="167" spans="1:11">
      <c r="A167" s="1130"/>
      <c r="B167" s="1207" t="s">
        <v>1</v>
      </c>
      <c r="C167" s="1205" t="s">
        <v>1364</v>
      </c>
      <c r="D167" s="1204"/>
      <c r="E167" s="1206">
        <v>2000</v>
      </c>
      <c r="F167" s="1289" t="s">
        <v>553</v>
      </c>
      <c r="G167" s="766"/>
      <c r="H167" s="1160"/>
      <c r="I167" s="1138" t="s">
        <v>1621</v>
      </c>
      <c r="J167" s="1270"/>
      <c r="K167" s="1170"/>
    </row>
    <row r="168" spans="1:11">
      <c r="A168" s="1130"/>
      <c r="B168" s="1168" t="s">
        <v>29</v>
      </c>
      <c r="C168" s="1205" t="s">
        <v>1365</v>
      </c>
      <c r="D168" s="1204"/>
      <c r="E168" s="1206">
        <v>2006</v>
      </c>
      <c r="F168" s="1215" t="s">
        <v>553</v>
      </c>
      <c r="G168" s="766"/>
      <c r="H168" s="1160"/>
      <c r="I168" s="1138" t="s">
        <v>1622</v>
      </c>
      <c r="J168" s="1270"/>
      <c r="K168" s="1170"/>
    </row>
    <row r="169" spans="1:11">
      <c r="A169" s="57"/>
      <c r="B169" s="49"/>
      <c r="C169" s="1131"/>
      <c r="D169" s="1131"/>
      <c r="E169" s="1136"/>
      <c r="F169" s="1131"/>
      <c r="G169" s="1131"/>
      <c r="H169" s="1133"/>
      <c r="I169" s="1138"/>
      <c r="J169" s="1196"/>
      <c r="K169" s="405"/>
    </row>
    <row r="170" spans="1:11">
      <c r="A170" s="57"/>
      <c r="B170" s="535"/>
      <c r="C170" s="1143" t="s">
        <v>1421</v>
      </c>
      <c r="D170" s="134"/>
      <c r="E170" s="134"/>
      <c r="F170" s="134"/>
      <c r="G170" s="542"/>
      <c r="H170" s="1164"/>
      <c r="I170" s="1138"/>
      <c r="J170" s="1196"/>
      <c r="K170" s="1164"/>
    </row>
    <row r="171" spans="1:11">
      <c r="A171" s="1130"/>
      <c r="B171" s="535"/>
      <c r="C171" s="524"/>
      <c r="D171" s="542"/>
      <c r="E171" s="542"/>
      <c r="F171" s="542"/>
      <c r="G171" s="542"/>
      <c r="H171" s="1164"/>
      <c r="I171" s="1138"/>
      <c r="J171" s="1270"/>
      <c r="K171" s="1164"/>
    </row>
    <row r="172" spans="1:11">
      <c r="A172" s="1130">
        <v>1</v>
      </c>
      <c r="B172" s="1168" t="s">
        <v>27</v>
      </c>
      <c r="C172" s="1205" t="s">
        <v>1522</v>
      </c>
      <c r="D172" s="1204"/>
      <c r="E172" s="1206">
        <v>1995</v>
      </c>
      <c r="F172" s="1215" t="s">
        <v>553</v>
      </c>
      <c r="G172" s="766"/>
      <c r="H172" s="1160"/>
      <c r="I172" s="1138">
        <v>42.35</v>
      </c>
      <c r="J172" s="747" t="s">
        <v>29</v>
      </c>
      <c r="K172" s="1196"/>
    </row>
    <row r="173" spans="1:11">
      <c r="A173" s="1130">
        <v>2</v>
      </c>
      <c r="B173" s="1168" t="s">
        <v>27</v>
      </c>
      <c r="C173" s="1205" t="s">
        <v>1523</v>
      </c>
      <c r="D173" s="1204"/>
      <c r="E173" s="1206">
        <v>1997</v>
      </c>
      <c r="F173" s="1215" t="s">
        <v>553</v>
      </c>
      <c r="G173" s="766"/>
      <c r="H173" s="1160"/>
      <c r="I173" s="1138">
        <v>43.8</v>
      </c>
      <c r="J173" s="747" t="s">
        <v>29</v>
      </c>
      <c r="K173" s="1196"/>
    </row>
    <row r="174" spans="1:11">
      <c r="A174" s="1130">
        <v>3</v>
      </c>
      <c r="B174" s="1202" t="s">
        <v>27</v>
      </c>
      <c r="C174" s="1205" t="s">
        <v>1349</v>
      </c>
      <c r="D174" s="1204"/>
      <c r="E174" s="1206">
        <v>2003</v>
      </c>
      <c r="F174" s="1215" t="s">
        <v>1703</v>
      </c>
      <c r="G174" s="1192"/>
      <c r="H174" s="1160"/>
      <c r="I174" s="1138">
        <v>44.49</v>
      </c>
      <c r="J174" s="747" t="s">
        <v>29</v>
      </c>
      <c r="K174" s="1196"/>
    </row>
    <row r="175" spans="1:11">
      <c r="A175" s="1130">
        <v>4</v>
      </c>
      <c r="B175" s="1207" t="s">
        <v>25</v>
      </c>
      <c r="C175" s="1205" t="s">
        <v>1516</v>
      </c>
      <c r="D175" s="1204"/>
      <c r="E175" s="1206">
        <v>1997</v>
      </c>
      <c r="F175" s="1215" t="s">
        <v>1360</v>
      </c>
      <c r="G175" s="766"/>
      <c r="H175" s="1160"/>
      <c r="I175" s="1138">
        <v>45.17</v>
      </c>
      <c r="J175" s="747" t="str">
        <f t="shared" ref="J175:J210" si="3">IF(ISBLANK(I175)," ",IF(ISTEXT(I175)," ",IF(I175&lt;=43.3,"МСМК",IF(I175&lt;=45.1,"МС",IF(I175&lt;=47.3,"КМС",IF(I175&lt;=50.8,"I",IF(I175&lt;=55.9,"II",IF(I175&lt;=100.4,"III",IF(I175&lt;=106,"I юн",IF(I175&lt;=112,"II юн",IF(I175&lt;=118.5,"III юн","б/р")))))))))))</f>
        <v>КМС</v>
      </c>
      <c r="K175" s="1196"/>
    </row>
    <row r="176" spans="1:11">
      <c r="A176" s="1130">
        <v>5</v>
      </c>
      <c r="B176" s="1207" t="s">
        <v>27</v>
      </c>
      <c r="C176" s="1205" t="s">
        <v>1408</v>
      </c>
      <c r="D176" s="1204"/>
      <c r="E176" s="1206">
        <v>2001</v>
      </c>
      <c r="F176" s="1289" t="s">
        <v>1360</v>
      </c>
      <c r="G176" s="1192"/>
      <c r="H176" s="1160"/>
      <c r="I176" s="1138">
        <v>45.17</v>
      </c>
      <c r="J176" s="747" t="str">
        <f t="shared" si="3"/>
        <v>КМС</v>
      </c>
      <c r="K176" s="1196"/>
    </row>
    <row r="177" spans="1:11">
      <c r="A177" s="1130">
        <v>6</v>
      </c>
      <c r="B177" s="1207" t="s">
        <v>23</v>
      </c>
      <c r="C177" s="1169" t="s">
        <v>1380</v>
      </c>
      <c r="D177" s="1189"/>
      <c r="E177" s="1206">
        <v>1995</v>
      </c>
      <c r="F177" s="1289" t="s">
        <v>1360</v>
      </c>
      <c r="G177" s="766"/>
      <c r="H177" s="1160"/>
      <c r="I177" s="1138">
        <v>45.28</v>
      </c>
      <c r="J177" s="747" t="str">
        <f t="shared" si="3"/>
        <v>КМС</v>
      </c>
      <c r="K177" s="1211"/>
    </row>
    <row r="178" spans="1:11">
      <c r="A178" s="1130">
        <v>7</v>
      </c>
      <c r="B178" s="1207" t="s">
        <v>27</v>
      </c>
      <c r="C178" s="1205" t="s">
        <v>1381</v>
      </c>
      <c r="D178" s="1204"/>
      <c r="E178" s="1206">
        <v>2005</v>
      </c>
      <c r="F178" s="1215" t="s">
        <v>1360</v>
      </c>
      <c r="G178" s="766"/>
      <c r="H178" s="1160"/>
      <c r="I178" s="1138">
        <v>45.35</v>
      </c>
      <c r="J178" s="747" t="str">
        <f t="shared" si="3"/>
        <v>КМС</v>
      </c>
      <c r="K178" s="1160"/>
    </row>
    <row r="179" spans="1:11">
      <c r="A179" s="1130">
        <v>8</v>
      </c>
      <c r="B179" s="1207" t="s">
        <v>29</v>
      </c>
      <c r="C179" s="1205" t="s">
        <v>1496</v>
      </c>
      <c r="D179" s="1204"/>
      <c r="E179" s="1206">
        <v>2001</v>
      </c>
      <c r="F179" s="1289" t="s">
        <v>1360</v>
      </c>
      <c r="G179" s="1192"/>
      <c r="H179" s="1160"/>
      <c r="I179" s="1138">
        <v>46.11</v>
      </c>
      <c r="J179" s="747" t="str">
        <f t="shared" si="3"/>
        <v>КМС</v>
      </c>
      <c r="K179" s="1160"/>
    </row>
    <row r="180" spans="1:11">
      <c r="A180" s="1130">
        <v>9</v>
      </c>
      <c r="B180" s="1168" t="s">
        <v>29</v>
      </c>
      <c r="C180" s="1205" t="s">
        <v>1384</v>
      </c>
      <c r="D180" s="1204"/>
      <c r="E180" s="1206">
        <v>2004</v>
      </c>
      <c r="F180" s="1215" t="s">
        <v>553</v>
      </c>
      <c r="G180" s="766"/>
      <c r="H180" s="1160"/>
      <c r="I180" s="1138">
        <v>46.14</v>
      </c>
      <c r="J180" s="747" t="str">
        <f t="shared" si="3"/>
        <v>КМС</v>
      </c>
      <c r="K180" s="1162"/>
    </row>
    <row r="181" spans="1:11">
      <c r="A181" s="1130">
        <v>10</v>
      </c>
      <c r="B181" s="1207" t="s">
        <v>29</v>
      </c>
      <c r="C181" s="1205" t="s">
        <v>1379</v>
      </c>
      <c r="D181" s="1204"/>
      <c r="E181" s="1206">
        <v>2004</v>
      </c>
      <c r="F181" s="1215" t="s">
        <v>1704</v>
      </c>
      <c r="G181" s="766"/>
      <c r="H181" s="1160"/>
      <c r="I181" s="1138">
        <v>46.46</v>
      </c>
      <c r="J181" s="747" t="str">
        <f t="shared" si="3"/>
        <v>КМС</v>
      </c>
      <c r="K181" s="1131"/>
    </row>
    <row r="182" spans="1:11">
      <c r="A182" s="1130">
        <v>11</v>
      </c>
      <c r="B182" s="1207" t="s">
        <v>27</v>
      </c>
      <c r="C182" s="1205" t="s">
        <v>1374</v>
      </c>
      <c r="D182" s="1204"/>
      <c r="E182" s="1206">
        <v>2003</v>
      </c>
      <c r="F182" s="1289" t="s">
        <v>1704</v>
      </c>
      <c r="G182" s="1192"/>
      <c r="H182" s="1160"/>
      <c r="I182" s="1138">
        <v>46.86</v>
      </c>
      <c r="J182" s="747" t="str">
        <f t="shared" si="3"/>
        <v>КМС</v>
      </c>
      <c r="K182" s="1160"/>
    </row>
    <row r="183" spans="1:11">
      <c r="A183" s="1130">
        <v>12</v>
      </c>
      <c r="B183" s="1207" t="s">
        <v>27</v>
      </c>
      <c r="C183" s="1205" t="s">
        <v>627</v>
      </c>
      <c r="D183" s="1204"/>
      <c r="E183" s="1206">
        <v>1997</v>
      </c>
      <c r="F183" s="1215" t="s">
        <v>1360</v>
      </c>
      <c r="G183" s="766"/>
      <c r="H183" s="1160"/>
      <c r="I183" s="1138">
        <v>46.86</v>
      </c>
      <c r="J183" s="747" t="str">
        <f t="shared" si="3"/>
        <v>КМС</v>
      </c>
      <c r="K183" s="1162"/>
    </row>
    <row r="184" spans="1:11">
      <c r="A184" s="1130">
        <v>13</v>
      </c>
      <c r="B184" s="1207" t="s">
        <v>29</v>
      </c>
      <c r="C184" s="1205" t="s">
        <v>1385</v>
      </c>
      <c r="D184" s="1204"/>
      <c r="E184" s="1206">
        <v>2003</v>
      </c>
      <c r="F184" s="1215" t="s">
        <v>553</v>
      </c>
      <c r="G184" s="766"/>
      <c r="H184" s="1160"/>
      <c r="I184" s="1138">
        <v>47.19</v>
      </c>
      <c r="J184" s="747" t="str">
        <f t="shared" si="3"/>
        <v>КМС</v>
      </c>
      <c r="K184" s="1203"/>
    </row>
    <row r="185" spans="1:11">
      <c r="A185" s="1130">
        <v>14</v>
      </c>
      <c r="B185" s="1207" t="s">
        <v>1</v>
      </c>
      <c r="C185" s="1205" t="s">
        <v>1383</v>
      </c>
      <c r="D185" s="1204"/>
      <c r="E185" s="1206">
        <v>2003</v>
      </c>
      <c r="F185" s="1289" t="s">
        <v>1360</v>
      </c>
      <c r="G185" s="766"/>
      <c r="H185" s="1160"/>
      <c r="I185" s="1138">
        <v>47.33</v>
      </c>
      <c r="J185" s="747" t="str">
        <f t="shared" si="3"/>
        <v>I</v>
      </c>
      <c r="K185" s="1196"/>
    </row>
    <row r="186" spans="1:11">
      <c r="A186" s="1130">
        <v>15</v>
      </c>
      <c r="B186" s="1158" t="s">
        <v>29</v>
      </c>
      <c r="C186" s="1154" t="s">
        <v>1510</v>
      </c>
      <c r="D186" s="1204"/>
      <c r="E186" s="1188">
        <v>2003</v>
      </c>
      <c r="F186" s="1205" t="s">
        <v>1702</v>
      </c>
      <c r="G186" s="766"/>
      <c r="H186" s="1162"/>
      <c r="I186" s="1138">
        <v>47.38</v>
      </c>
      <c r="J186" s="747" t="str">
        <f t="shared" si="3"/>
        <v>I</v>
      </c>
      <c r="K186" s="1160"/>
    </row>
    <row r="187" spans="1:11">
      <c r="A187" s="1130">
        <v>16</v>
      </c>
      <c r="B187" s="1207" t="s">
        <v>27</v>
      </c>
      <c r="C187" s="1205" t="s">
        <v>1425</v>
      </c>
      <c r="D187" s="1204"/>
      <c r="E187" s="1206">
        <v>1997</v>
      </c>
      <c r="F187" s="1215" t="s">
        <v>1360</v>
      </c>
      <c r="G187" s="766"/>
      <c r="H187" s="1160"/>
      <c r="I187" s="1138">
        <v>47.43</v>
      </c>
      <c r="J187" s="747" t="str">
        <f t="shared" si="3"/>
        <v>I</v>
      </c>
      <c r="K187" s="1196"/>
    </row>
    <row r="188" spans="1:11">
      <c r="A188" s="1130">
        <v>17</v>
      </c>
      <c r="B188" s="1207" t="s">
        <v>29</v>
      </c>
      <c r="C188" s="1205" t="s">
        <v>1376</v>
      </c>
      <c r="D188" s="1204"/>
      <c r="E188" s="1206">
        <v>2006</v>
      </c>
      <c r="F188" s="1215" t="s">
        <v>1357</v>
      </c>
      <c r="G188" s="1192"/>
      <c r="H188" s="1160"/>
      <c r="I188" s="1138">
        <v>47.59</v>
      </c>
      <c r="J188" s="747" t="str">
        <f t="shared" si="3"/>
        <v>I</v>
      </c>
      <c r="K188" s="1135"/>
    </row>
    <row r="189" spans="1:11">
      <c r="A189" s="1130">
        <v>18</v>
      </c>
      <c r="B189" s="1168" t="s">
        <v>29</v>
      </c>
      <c r="C189" s="1205" t="s">
        <v>1406</v>
      </c>
      <c r="D189" s="1204"/>
      <c r="E189" s="1206">
        <v>2004</v>
      </c>
      <c r="F189" s="1215" t="s">
        <v>553</v>
      </c>
      <c r="G189" s="766"/>
      <c r="H189" s="1160"/>
      <c r="I189" s="1138">
        <v>48.1</v>
      </c>
      <c r="J189" s="747" t="str">
        <f t="shared" si="3"/>
        <v>I</v>
      </c>
      <c r="K189" s="1196"/>
    </row>
    <row r="190" spans="1:11">
      <c r="A190" s="1130">
        <v>19</v>
      </c>
      <c r="B190" s="1207" t="s">
        <v>27</v>
      </c>
      <c r="C190" s="1205" t="s">
        <v>1501</v>
      </c>
      <c r="D190" s="1204"/>
      <c r="E190" s="1206">
        <v>1998</v>
      </c>
      <c r="F190" s="1289" t="s">
        <v>1357</v>
      </c>
      <c r="G190" s="1192"/>
      <c r="H190" s="1160"/>
      <c r="I190" s="1138">
        <v>48.11</v>
      </c>
      <c r="J190" s="747" t="str">
        <f t="shared" si="3"/>
        <v>I</v>
      </c>
      <c r="K190" s="1203"/>
    </row>
    <row r="191" spans="1:11">
      <c r="A191" s="1130">
        <v>20</v>
      </c>
      <c r="B191" s="1207" t="s">
        <v>1</v>
      </c>
      <c r="C191" s="1205" t="s">
        <v>1472</v>
      </c>
      <c r="D191" s="1204"/>
      <c r="E191" s="1206">
        <v>2005</v>
      </c>
      <c r="F191" s="1215" t="s">
        <v>553</v>
      </c>
      <c r="G191" s="766"/>
      <c r="H191" s="1160"/>
      <c r="I191" s="1138">
        <v>48.34</v>
      </c>
      <c r="J191" s="747" t="str">
        <f t="shared" si="3"/>
        <v>I</v>
      </c>
      <c r="K191" s="1203"/>
    </row>
    <row r="192" spans="1:11">
      <c r="A192" s="1130">
        <v>21</v>
      </c>
      <c r="B192" s="1207" t="s">
        <v>13</v>
      </c>
      <c r="C192" s="1205" t="s">
        <v>1420</v>
      </c>
      <c r="D192" s="1204"/>
      <c r="E192" s="1206">
        <v>2002</v>
      </c>
      <c r="F192" s="1215" t="s">
        <v>553</v>
      </c>
      <c r="G192" s="1192"/>
      <c r="H192" s="1160"/>
      <c r="I192" s="1138">
        <v>48.71</v>
      </c>
      <c r="J192" s="747" t="str">
        <f t="shared" si="3"/>
        <v>I</v>
      </c>
      <c r="K192" s="1203"/>
    </row>
    <row r="193" spans="1:11">
      <c r="A193" s="1130">
        <v>22</v>
      </c>
      <c r="B193" s="1168" t="s">
        <v>29</v>
      </c>
      <c r="C193" s="1205" t="s">
        <v>1507</v>
      </c>
      <c r="D193" s="1204"/>
      <c r="E193" s="1206">
        <v>2003</v>
      </c>
      <c r="F193" s="1215" t="s">
        <v>553</v>
      </c>
      <c r="G193" s="1192"/>
      <c r="H193" s="1160"/>
      <c r="I193" s="1138">
        <v>48.8</v>
      </c>
      <c r="J193" s="747" t="str">
        <f t="shared" si="3"/>
        <v>I</v>
      </c>
      <c r="K193" s="1164"/>
    </row>
    <row r="194" spans="1:11">
      <c r="A194" s="1130">
        <v>23</v>
      </c>
      <c r="B194" s="1207" t="s">
        <v>1</v>
      </c>
      <c r="C194" s="1205" t="s">
        <v>1513</v>
      </c>
      <c r="D194" s="1204"/>
      <c r="E194" s="1206">
        <v>2005</v>
      </c>
      <c r="F194" s="1215" t="s">
        <v>1445</v>
      </c>
      <c r="G194" s="766"/>
      <c r="H194" s="1160"/>
      <c r="I194" s="1138">
        <v>49.21</v>
      </c>
      <c r="J194" s="747" t="str">
        <f t="shared" si="3"/>
        <v>I</v>
      </c>
      <c r="K194" s="765"/>
    </row>
    <row r="195" spans="1:11">
      <c r="A195" s="1130">
        <v>24</v>
      </c>
      <c r="B195" s="1207" t="s">
        <v>29</v>
      </c>
      <c r="C195" s="1157" t="s">
        <v>1382</v>
      </c>
      <c r="D195" s="1204"/>
      <c r="E195" s="1206">
        <v>2005</v>
      </c>
      <c r="F195" s="1215" t="s">
        <v>1360</v>
      </c>
      <c r="G195" s="766"/>
      <c r="H195" s="1160"/>
      <c r="I195" s="1138">
        <v>49.33</v>
      </c>
      <c r="J195" s="747" t="str">
        <f t="shared" si="3"/>
        <v>I</v>
      </c>
      <c r="K195" s="1133"/>
    </row>
    <row r="196" spans="1:11">
      <c r="A196" s="1130">
        <v>25</v>
      </c>
      <c r="B196" s="1207" t="s">
        <v>1</v>
      </c>
      <c r="C196" s="1205" t="s">
        <v>1497</v>
      </c>
      <c r="D196" s="1204"/>
      <c r="E196" s="1206">
        <v>2002</v>
      </c>
      <c r="F196" s="1289" t="s">
        <v>1360</v>
      </c>
      <c r="G196" s="1192"/>
      <c r="H196" s="1160"/>
      <c r="I196" s="1138">
        <v>49.43</v>
      </c>
      <c r="J196" s="747" t="str">
        <f t="shared" si="3"/>
        <v>I</v>
      </c>
      <c r="K196" s="1203"/>
    </row>
    <row r="197" spans="1:11">
      <c r="A197" s="1130">
        <v>26</v>
      </c>
      <c r="B197" s="1207" t="s">
        <v>1</v>
      </c>
      <c r="C197" s="1205" t="s">
        <v>1410</v>
      </c>
      <c r="D197" s="1204"/>
      <c r="E197" s="1206">
        <v>2005</v>
      </c>
      <c r="F197" s="1215" t="s">
        <v>1360</v>
      </c>
      <c r="G197" s="766"/>
      <c r="H197" s="1160"/>
      <c r="I197" s="1138">
        <v>49.63</v>
      </c>
      <c r="J197" s="747" t="str">
        <f t="shared" si="3"/>
        <v>I</v>
      </c>
      <c r="K197" s="1203"/>
    </row>
    <row r="198" spans="1:11">
      <c r="A198" s="1130">
        <v>27</v>
      </c>
      <c r="B198" s="1207" t="s">
        <v>1</v>
      </c>
      <c r="C198" s="1205" t="s">
        <v>1419</v>
      </c>
      <c r="D198" s="1204"/>
      <c r="E198" s="1206">
        <v>2005</v>
      </c>
      <c r="F198" s="1215" t="s">
        <v>1445</v>
      </c>
      <c r="G198" s="766"/>
      <c r="H198" s="1160"/>
      <c r="I198" s="1138">
        <v>49.83</v>
      </c>
      <c r="J198" s="747" t="str">
        <f t="shared" si="3"/>
        <v>I</v>
      </c>
      <c r="K198" s="1196"/>
    </row>
    <row r="199" spans="1:11">
      <c r="A199" s="1130">
        <v>28</v>
      </c>
      <c r="B199" s="1207" t="s">
        <v>29</v>
      </c>
      <c r="C199" s="1205" t="s">
        <v>1391</v>
      </c>
      <c r="D199" s="1204"/>
      <c r="E199" s="1206">
        <v>2003</v>
      </c>
      <c r="F199" s="1205" t="s">
        <v>1702</v>
      </c>
      <c r="G199" s="1192"/>
      <c r="H199" s="1160"/>
      <c r="I199" s="1138">
        <v>50.02</v>
      </c>
      <c r="J199" s="747" t="str">
        <f t="shared" si="3"/>
        <v>I</v>
      </c>
      <c r="K199" s="1203"/>
    </row>
    <row r="200" spans="1:11">
      <c r="A200" s="1130">
        <v>29</v>
      </c>
      <c r="B200" s="1207" t="s">
        <v>1</v>
      </c>
      <c r="C200" s="1205" t="s">
        <v>1514</v>
      </c>
      <c r="D200" s="1204" t="s">
        <v>433</v>
      </c>
      <c r="E200" s="1206">
        <v>2005</v>
      </c>
      <c r="F200" s="1215" t="s">
        <v>1445</v>
      </c>
      <c r="G200" s="766"/>
      <c r="H200" s="1160"/>
      <c r="I200" s="1138">
        <v>50.48</v>
      </c>
      <c r="J200" s="747" t="str">
        <f t="shared" si="3"/>
        <v>I</v>
      </c>
      <c r="K200" s="1196"/>
    </row>
    <row r="201" spans="1:11">
      <c r="A201" s="1130">
        <v>30</v>
      </c>
      <c r="B201" s="1207" t="s">
        <v>1</v>
      </c>
      <c r="C201" s="1205" t="s">
        <v>1405</v>
      </c>
      <c r="D201" s="1204"/>
      <c r="E201" s="1206">
        <v>2004</v>
      </c>
      <c r="F201" s="1215" t="s">
        <v>553</v>
      </c>
      <c r="G201" s="766"/>
      <c r="H201" s="1160"/>
      <c r="I201" s="1138">
        <v>50.61</v>
      </c>
      <c r="J201" s="747" t="str">
        <f t="shared" si="3"/>
        <v>I</v>
      </c>
      <c r="K201" s="1203"/>
    </row>
    <row r="202" spans="1:11">
      <c r="A202" s="1130">
        <v>31</v>
      </c>
      <c r="B202" s="1207" t="s">
        <v>29</v>
      </c>
      <c r="C202" s="1205" t="s">
        <v>1378</v>
      </c>
      <c r="D202" s="1204"/>
      <c r="E202" s="1206">
        <v>2002</v>
      </c>
      <c r="F202" s="1289" t="s">
        <v>1703</v>
      </c>
      <c r="G202" s="1192"/>
      <c r="H202" s="1160"/>
      <c r="I202" s="1138">
        <v>50.66</v>
      </c>
      <c r="J202" s="747" t="str">
        <f t="shared" si="3"/>
        <v>I</v>
      </c>
      <c r="K202" s="1203"/>
    </row>
    <row r="203" spans="1:11">
      <c r="A203" s="1130">
        <v>32</v>
      </c>
      <c r="B203" s="1207" t="s">
        <v>1</v>
      </c>
      <c r="C203" s="1205" t="s">
        <v>1500</v>
      </c>
      <c r="D203" s="1204"/>
      <c r="E203" s="1206">
        <v>2003</v>
      </c>
      <c r="F203" s="1289" t="s">
        <v>553</v>
      </c>
      <c r="G203" s="1192"/>
      <c r="H203" s="1160"/>
      <c r="I203" s="1138">
        <v>50.67</v>
      </c>
      <c r="J203" s="747" t="str">
        <f t="shared" si="3"/>
        <v>I</v>
      </c>
      <c r="K203" s="1203"/>
    </row>
    <row r="204" spans="1:11">
      <c r="A204" s="1130">
        <v>33</v>
      </c>
      <c r="B204" s="1207" t="s">
        <v>13</v>
      </c>
      <c r="C204" s="1205" t="s">
        <v>1418</v>
      </c>
      <c r="D204" s="1204"/>
      <c r="E204" s="1206">
        <v>2004</v>
      </c>
      <c r="F204" s="1215" t="s">
        <v>1360</v>
      </c>
      <c r="G204" s="766"/>
      <c r="H204" s="1160"/>
      <c r="I204" s="1138">
        <v>50.74</v>
      </c>
      <c r="J204" s="747" t="str">
        <f t="shared" si="3"/>
        <v>I</v>
      </c>
      <c r="K204" s="1196"/>
    </row>
    <row r="205" spans="1:11">
      <c r="A205" s="1130">
        <v>34</v>
      </c>
      <c r="B205" s="1207" t="s">
        <v>13</v>
      </c>
      <c r="C205" s="1205" t="s">
        <v>1411</v>
      </c>
      <c r="D205" s="1204"/>
      <c r="E205" s="1206">
        <v>2005</v>
      </c>
      <c r="F205" s="1215" t="s">
        <v>1360</v>
      </c>
      <c r="G205" s="766"/>
      <c r="H205" s="1160"/>
      <c r="I205" s="1138">
        <v>51.78</v>
      </c>
      <c r="J205" s="747" t="str">
        <f t="shared" si="3"/>
        <v>II</v>
      </c>
      <c r="K205" s="69"/>
    </row>
    <row r="206" spans="1:11">
      <c r="A206" s="1130">
        <v>35</v>
      </c>
      <c r="B206" s="1207" t="s">
        <v>13</v>
      </c>
      <c r="C206" s="1205" t="s">
        <v>1521</v>
      </c>
      <c r="D206" s="1204"/>
      <c r="E206" s="1206">
        <v>2006</v>
      </c>
      <c r="F206" s="1215" t="s">
        <v>553</v>
      </c>
      <c r="G206" s="766"/>
      <c r="H206" s="1160"/>
      <c r="I206" s="1138">
        <v>52.77</v>
      </c>
      <c r="J206" s="747" t="str">
        <f t="shared" si="3"/>
        <v>II</v>
      </c>
      <c r="K206" s="1135"/>
    </row>
    <row r="207" spans="1:11">
      <c r="A207" s="1130">
        <v>36</v>
      </c>
      <c r="B207" s="1207" t="s">
        <v>1</v>
      </c>
      <c r="C207" s="1205" t="s">
        <v>1515</v>
      </c>
      <c r="D207" s="1204" t="s">
        <v>433</v>
      </c>
      <c r="E207" s="1206">
        <v>2004</v>
      </c>
      <c r="F207" s="1215" t="s">
        <v>1445</v>
      </c>
      <c r="G207" s="766"/>
      <c r="H207" s="1160"/>
      <c r="I207" s="1138">
        <v>52.92</v>
      </c>
      <c r="J207" s="747" t="str">
        <f t="shared" si="3"/>
        <v>II</v>
      </c>
      <c r="K207" s="69"/>
    </row>
    <row r="208" spans="1:11">
      <c r="A208" s="1130">
        <v>37</v>
      </c>
      <c r="B208" s="1207" t="s">
        <v>13</v>
      </c>
      <c r="C208" s="1205" t="s">
        <v>1386</v>
      </c>
      <c r="D208" s="1204"/>
      <c r="E208" s="1206">
        <v>2006</v>
      </c>
      <c r="F208" s="1215" t="s">
        <v>553</v>
      </c>
      <c r="G208" s="766"/>
      <c r="H208" s="1160"/>
      <c r="I208" s="1138">
        <v>54.6</v>
      </c>
      <c r="J208" s="747" t="str">
        <f t="shared" si="3"/>
        <v>II</v>
      </c>
      <c r="K208" s="1165"/>
    </row>
    <row r="209" spans="1:11">
      <c r="A209" s="1130">
        <v>38</v>
      </c>
      <c r="B209" s="1207" t="s">
        <v>13</v>
      </c>
      <c r="C209" s="1205" t="s">
        <v>1415</v>
      </c>
      <c r="D209" s="1204"/>
      <c r="E209" s="1206">
        <v>2006</v>
      </c>
      <c r="F209" s="1215" t="s">
        <v>1357</v>
      </c>
      <c r="G209" s="766"/>
      <c r="H209" s="1160"/>
      <c r="I209" s="1138">
        <v>57.75</v>
      </c>
      <c r="J209" s="747" t="str">
        <f t="shared" si="3"/>
        <v>III</v>
      </c>
      <c r="K209" s="1196"/>
    </row>
    <row r="210" spans="1:11">
      <c r="A210" s="1130">
        <v>39</v>
      </c>
      <c r="B210" s="1207" t="s">
        <v>13</v>
      </c>
      <c r="C210" s="1205" t="s">
        <v>1518</v>
      </c>
      <c r="D210" s="1204"/>
      <c r="E210" s="1206">
        <v>2005</v>
      </c>
      <c r="F210" s="1215" t="s">
        <v>1360</v>
      </c>
      <c r="G210" s="766"/>
      <c r="H210" s="1160"/>
      <c r="I210" s="1138">
        <v>58.43</v>
      </c>
      <c r="J210" s="747" t="str">
        <f t="shared" si="3"/>
        <v>III</v>
      </c>
      <c r="K210" s="1210"/>
    </row>
    <row r="211" spans="1:11">
      <c r="A211" s="1130">
        <v>40</v>
      </c>
      <c r="B211" s="1207" t="s">
        <v>13</v>
      </c>
      <c r="C211" s="1205" t="s">
        <v>1519</v>
      </c>
      <c r="D211" s="1204"/>
      <c r="E211" s="1206">
        <v>2006</v>
      </c>
      <c r="F211" s="1215" t="s">
        <v>1360</v>
      </c>
      <c r="G211" s="766"/>
      <c r="H211" s="1160"/>
      <c r="I211" s="1138" t="s">
        <v>1628</v>
      </c>
      <c r="J211" s="747" t="s">
        <v>1620</v>
      </c>
      <c r="K211" s="1165"/>
    </row>
    <row r="212" spans="1:11">
      <c r="A212" s="1130"/>
      <c r="B212" s="1207" t="s">
        <v>1</v>
      </c>
      <c r="C212" s="1205" t="s">
        <v>1517</v>
      </c>
      <c r="D212" s="1204"/>
      <c r="E212" s="1206">
        <v>2005</v>
      </c>
      <c r="F212" s="1215" t="s">
        <v>1360</v>
      </c>
      <c r="G212" s="766"/>
      <c r="H212" s="1160"/>
      <c r="I212" s="1138" t="s">
        <v>1622</v>
      </c>
      <c r="J212" s="1270"/>
      <c r="K212" s="1137"/>
    </row>
    <row r="213" spans="1:11">
      <c r="A213" s="1130"/>
      <c r="B213" s="1207" t="s">
        <v>27</v>
      </c>
      <c r="C213" s="1205" t="s">
        <v>1417</v>
      </c>
      <c r="D213" s="1204"/>
      <c r="E213" s="1206">
        <v>2003</v>
      </c>
      <c r="F213" s="1289" t="s">
        <v>1360</v>
      </c>
      <c r="G213" s="766"/>
      <c r="H213" s="1160"/>
      <c r="I213" s="1138" t="s">
        <v>1622</v>
      </c>
      <c r="J213" s="1196"/>
      <c r="K213" s="1196"/>
    </row>
    <row r="214" spans="1:11">
      <c r="A214" s="1281"/>
      <c r="B214" s="1198" t="s">
        <v>29</v>
      </c>
      <c r="C214" s="1199" t="s">
        <v>1353</v>
      </c>
      <c r="D214" s="1200"/>
      <c r="E214" s="1191">
        <v>2007</v>
      </c>
      <c r="F214" s="1213" t="s">
        <v>1448</v>
      </c>
      <c r="G214" s="1213"/>
      <c r="H214" s="1214"/>
      <c r="I214" s="1273">
        <v>46.5</v>
      </c>
      <c r="J214" s="1280" t="str">
        <f>IF(ISBLANK(I214)," ",IF(ISTEXT(I214)," ",IF(I214&lt;=43.3,"МСМК",IF(I214&lt;=45.1,"МС",IF(I214&lt;=47.3,"КМС",IF(I214&lt;=50.8,"I",IF(I214&lt;=55.9,"II",IF(I214&lt;=100.4,"III",IF(I214&lt;=106,"I юн",IF(I214&lt;=112,"II юн",IF(I214&lt;=118.5,"III юн","б/р")))))))))))</f>
        <v>КМС</v>
      </c>
      <c r="K214" s="1282"/>
    </row>
    <row r="215" spans="1:11">
      <c r="A215" s="1281"/>
      <c r="B215" s="1198" t="s">
        <v>1</v>
      </c>
      <c r="C215" s="1199" t="s">
        <v>1354</v>
      </c>
      <c r="D215" s="1200"/>
      <c r="E215" s="1191">
        <v>2007</v>
      </c>
      <c r="F215" s="1213" t="s">
        <v>1350</v>
      </c>
      <c r="G215" s="1213"/>
      <c r="H215" s="1214"/>
      <c r="I215" s="1273">
        <v>49.77</v>
      </c>
      <c r="J215" s="1280" t="str">
        <f>IF(ISBLANK(I215)," ",IF(ISTEXT(I215)," ",IF(I215&lt;=43.3,"МСМК",IF(I215&lt;=45.1,"МС",IF(I215&lt;=47.3,"КМС",IF(I215&lt;=50.8,"I",IF(I215&lt;=55.9,"II",IF(I215&lt;=100.4,"III",IF(I215&lt;=106,"I юн",IF(I215&lt;=112,"II юн",IF(I215&lt;=118.5,"III юн","б/р")))))))))))</f>
        <v>I</v>
      </c>
      <c r="K215" s="1282"/>
    </row>
    <row r="216" spans="1:11">
      <c r="A216" s="1281"/>
      <c r="B216" s="1198" t="s">
        <v>13</v>
      </c>
      <c r="C216" s="1199" t="s">
        <v>1520</v>
      </c>
      <c r="D216" s="1200"/>
      <c r="E216" s="1191">
        <v>2007</v>
      </c>
      <c r="F216" s="1213" t="s">
        <v>553</v>
      </c>
      <c r="G216" s="1213"/>
      <c r="H216" s="1214"/>
      <c r="I216" s="1273">
        <v>52.96</v>
      </c>
      <c r="J216" s="1280" t="str">
        <f>IF(ISBLANK(I216)," ",IF(ISTEXT(I216)," ",IF(I216&lt;=43.3,"МСМК",IF(I216&lt;=45.1,"МС",IF(I216&lt;=47.3,"КМС",IF(I216&lt;=50.8,"I",IF(I216&lt;=55.9,"II",IF(I216&lt;=100.4,"III",IF(I216&lt;=106,"I юн",IF(I216&lt;=112,"II юн",IF(I216&lt;=118.5,"III юн","б/р")))))))))))</f>
        <v>II</v>
      </c>
      <c r="K216" s="1283"/>
    </row>
    <row r="217" spans="1:11">
      <c r="A217" s="1210"/>
      <c r="B217" s="1207"/>
      <c r="C217" s="1205"/>
      <c r="D217" s="1204"/>
      <c r="E217" s="1206"/>
      <c r="F217" s="1215"/>
      <c r="G217" s="1215"/>
      <c r="H217" s="1160"/>
      <c r="I217" s="1138"/>
      <c r="J217" s="1196"/>
      <c r="K217" s="1196"/>
    </row>
    <row r="218" spans="1:11">
      <c r="A218" s="1130"/>
      <c r="B218" s="1210"/>
      <c r="C218" s="1143" t="s">
        <v>1687</v>
      </c>
      <c r="D218" s="1284"/>
      <c r="E218" s="1285"/>
      <c r="F218" s="1143"/>
      <c r="G218" s="524"/>
      <c r="H218" s="1196"/>
      <c r="I218" s="1138"/>
      <c r="J218" s="1196"/>
      <c r="K218" s="1135"/>
    </row>
    <row r="219" spans="1:11">
      <c r="A219" s="1130"/>
      <c r="B219" s="1207"/>
      <c r="C219" s="1205"/>
      <c r="D219" s="1204"/>
      <c r="E219" s="1206"/>
      <c r="F219" s="1215"/>
      <c r="G219" s="1215"/>
      <c r="H219" s="1160"/>
      <c r="I219" s="1138"/>
      <c r="J219" s="1196"/>
      <c r="K219" s="1196"/>
    </row>
    <row r="220" spans="1:11">
      <c r="A220" s="1130">
        <v>1</v>
      </c>
      <c r="B220" s="1207" t="s">
        <v>25</v>
      </c>
      <c r="C220" s="1205" t="s">
        <v>554</v>
      </c>
      <c r="D220" s="1204"/>
      <c r="E220" s="1206">
        <v>1995</v>
      </c>
      <c r="F220" s="1289" t="s">
        <v>1360</v>
      </c>
      <c r="G220" s="766"/>
      <c r="H220" s="1187"/>
      <c r="I220" s="1138" t="s">
        <v>1631</v>
      </c>
      <c r="J220" s="747" t="s">
        <v>1</v>
      </c>
      <c r="K220" s="1196"/>
    </row>
    <row r="221" spans="1:11">
      <c r="A221" s="1130">
        <v>2</v>
      </c>
      <c r="B221" s="1207" t="s">
        <v>29</v>
      </c>
      <c r="C221" s="1205" t="s">
        <v>1444</v>
      </c>
      <c r="D221" s="1204"/>
      <c r="E221" s="1206">
        <v>2006</v>
      </c>
      <c r="F221" s="1205" t="s">
        <v>1445</v>
      </c>
      <c r="G221" s="766"/>
      <c r="H221" s="1160"/>
      <c r="I221" s="1138" t="s">
        <v>1630</v>
      </c>
      <c r="J221" s="747" t="s">
        <v>1</v>
      </c>
      <c r="K221" s="1196"/>
    </row>
    <row r="222" spans="1:11">
      <c r="A222" s="1130">
        <v>3</v>
      </c>
      <c r="B222" s="1207" t="s">
        <v>1</v>
      </c>
      <c r="C222" s="1205" t="s">
        <v>1524</v>
      </c>
      <c r="D222" s="1204"/>
      <c r="E222" s="1206">
        <v>2003</v>
      </c>
      <c r="F222" s="1215" t="s">
        <v>553</v>
      </c>
      <c r="G222" s="766"/>
      <c r="H222" s="1187"/>
      <c r="I222" s="1138" t="s">
        <v>1632</v>
      </c>
      <c r="J222" s="747" t="s">
        <v>1</v>
      </c>
      <c r="K222" s="1196"/>
    </row>
    <row r="223" spans="1:11">
      <c r="A223" s="1130">
        <v>4</v>
      </c>
      <c r="B223" s="1168" t="s">
        <v>29</v>
      </c>
      <c r="C223" s="1205" t="s">
        <v>1365</v>
      </c>
      <c r="D223" s="1204"/>
      <c r="E223" s="1206">
        <v>2006</v>
      </c>
      <c r="F223" s="1215" t="s">
        <v>553</v>
      </c>
      <c r="G223" s="766"/>
      <c r="H223" s="1187"/>
      <c r="I223" s="1138" t="s">
        <v>1629</v>
      </c>
      <c r="J223" s="747" t="s">
        <v>14</v>
      </c>
      <c r="K223" s="1196"/>
    </row>
    <row r="224" spans="1:11">
      <c r="A224" s="1130"/>
      <c r="B224" s="1207"/>
      <c r="C224" s="1205"/>
      <c r="D224" s="1204"/>
      <c r="E224" s="1206"/>
      <c r="F224" s="1215"/>
      <c r="G224" s="766"/>
      <c r="H224" s="1187"/>
      <c r="I224" s="1138"/>
      <c r="J224" s="1196"/>
      <c r="K224" s="1196"/>
    </row>
    <row r="225" spans="1:11">
      <c r="A225" s="1130"/>
      <c r="B225" s="1210"/>
      <c r="C225" s="1143" t="s">
        <v>1687</v>
      </c>
      <c r="D225" s="1284"/>
      <c r="E225" s="1285"/>
      <c r="F225" s="1143"/>
      <c r="G225" s="1210"/>
      <c r="H225" s="1196"/>
      <c r="I225" s="1138"/>
      <c r="J225" s="1196"/>
      <c r="K225" s="1196"/>
    </row>
    <row r="226" spans="1:11" ht="10.5" customHeight="1">
      <c r="A226" s="1130"/>
      <c r="B226" s="1207"/>
      <c r="C226" s="1210"/>
      <c r="D226" s="1210"/>
      <c r="E226" s="1129"/>
      <c r="F226" s="1210"/>
      <c r="G226" s="524"/>
      <c r="H226" s="1160"/>
      <c r="I226" s="1138"/>
      <c r="J226" s="1196"/>
      <c r="K226" s="1196"/>
    </row>
    <row r="227" spans="1:11">
      <c r="A227" s="1130">
        <v>1</v>
      </c>
      <c r="B227" s="1168" t="s">
        <v>29</v>
      </c>
      <c r="C227" s="1205" t="s">
        <v>1010</v>
      </c>
      <c r="D227" s="1204"/>
      <c r="E227" s="1206">
        <v>2006</v>
      </c>
      <c r="F227" s="1215" t="s">
        <v>553</v>
      </c>
      <c r="G227" s="766"/>
      <c r="H227" s="1160"/>
      <c r="I227" s="1138" t="s">
        <v>1634</v>
      </c>
      <c r="J227" s="747" t="s">
        <v>1</v>
      </c>
      <c r="K227" s="1196"/>
    </row>
    <row r="228" spans="1:11">
      <c r="A228" s="1130">
        <v>2</v>
      </c>
      <c r="B228" s="1207" t="s">
        <v>1</v>
      </c>
      <c r="C228" s="1205" t="s">
        <v>1407</v>
      </c>
      <c r="D228" s="1204"/>
      <c r="E228" s="1206">
        <v>2005</v>
      </c>
      <c r="F228" s="1215" t="s">
        <v>553</v>
      </c>
      <c r="G228" s="766"/>
      <c r="H228" s="1160"/>
      <c r="I228" s="1138" t="s">
        <v>1635</v>
      </c>
      <c r="J228" s="747" t="s">
        <v>13</v>
      </c>
      <c r="K228" s="1196"/>
    </row>
    <row r="229" spans="1:11">
      <c r="A229" s="1130">
        <v>3</v>
      </c>
      <c r="B229" s="1207" t="s">
        <v>29</v>
      </c>
      <c r="C229" s="1205" t="s">
        <v>1373</v>
      </c>
      <c r="D229" s="1204"/>
      <c r="E229" s="1206">
        <v>2002</v>
      </c>
      <c r="F229" s="1215" t="s">
        <v>553</v>
      </c>
      <c r="G229" s="766"/>
      <c r="H229" s="1160"/>
      <c r="I229" s="1138" t="s">
        <v>1633</v>
      </c>
      <c r="J229" s="1136" t="s">
        <v>15</v>
      </c>
      <c r="K229" s="1196"/>
    </row>
    <row r="230" spans="1:11">
      <c r="A230" s="1130"/>
      <c r="B230" s="1207"/>
      <c r="C230" s="1205"/>
      <c r="D230" s="1204"/>
      <c r="E230" s="1206"/>
      <c r="F230" s="1215"/>
      <c r="G230" s="766"/>
      <c r="H230" s="1160"/>
      <c r="I230" s="1138"/>
      <c r="J230" s="1196"/>
      <c r="K230" s="1196"/>
    </row>
    <row r="231" spans="1:11">
      <c r="A231" s="1130"/>
      <c r="B231" s="1207"/>
      <c r="C231" s="1143" t="s">
        <v>1688</v>
      </c>
      <c r="D231" s="1284"/>
      <c r="E231" s="1285"/>
      <c r="F231" s="1143"/>
      <c r="G231" s="1215"/>
      <c r="H231" s="1160"/>
      <c r="I231" s="1138"/>
      <c r="J231" s="1196"/>
      <c r="K231" s="1196"/>
    </row>
    <row r="232" spans="1:11">
      <c r="A232" s="1130"/>
      <c r="B232" s="1158"/>
      <c r="C232" s="1205"/>
      <c r="D232" s="1204"/>
      <c r="E232" s="1206"/>
      <c r="F232" s="1215"/>
      <c r="G232" s="1215"/>
      <c r="H232" s="1162"/>
      <c r="I232" s="1138"/>
      <c r="J232" s="1196"/>
      <c r="K232" s="1196"/>
    </row>
    <row r="233" spans="1:11">
      <c r="A233" s="1130">
        <v>1</v>
      </c>
      <c r="B233" s="1207" t="s">
        <v>23</v>
      </c>
      <c r="C233" s="1205" t="s">
        <v>552</v>
      </c>
      <c r="D233" s="1204"/>
      <c r="E233" s="1206">
        <v>1993</v>
      </c>
      <c r="F233" s="1289" t="s">
        <v>1360</v>
      </c>
      <c r="G233" s="767"/>
      <c r="H233" s="1159"/>
      <c r="I233" s="1138" t="s">
        <v>1642</v>
      </c>
      <c r="J233" s="747" t="s">
        <v>29</v>
      </c>
      <c r="K233" s="1210"/>
    </row>
    <row r="234" spans="1:11">
      <c r="A234" s="1130">
        <v>2</v>
      </c>
      <c r="B234" s="1202" t="s">
        <v>29</v>
      </c>
      <c r="C234" s="767" t="s">
        <v>1014</v>
      </c>
      <c r="D234" s="1204"/>
      <c r="E234" s="1203">
        <v>2006</v>
      </c>
      <c r="F234" s="767" t="s">
        <v>553</v>
      </c>
      <c r="G234" s="767"/>
      <c r="H234" s="1159"/>
      <c r="I234" s="1138" t="s">
        <v>1829</v>
      </c>
      <c r="J234" s="747" t="s">
        <v>29</v>
      </c>
      <c r="K234" s="1196"/>
    </row>
    <row r="235" spans="1:11">
      <c r="A235" s="1130">
        <v>3</v>
      </c>
      <c r="B235" s="1207" t="s">
        <v>27</v>
      </c>
      <c r="C235" s="1205" t="s">
        <v>595</v>
      </c>
      <c r="D235" s="1204"/>
      <c r="E235" s="1206">
        <v>2000</v>
      </c>
      <c r="F235" s="1289" t="s">
        <v>1360</v>
      </c>
      <c r="G235" s="767"/>
      <c r="H235" s="1159"/>
      <c r="I235" s="1138" t="s">
        <v>1640</v>
      </c>
      <c r="J235" s="747" t="s">
        <v>1</v>
      </c>
      <c r="K235" s="1196"/>
    </row>
    <row r="236" spans="1:11">
      <c r="A236" s="1130">
        <v>4</v>
      </c>
      <c r="B236" s="1168" t="s">
        <v>27</v>
      </c>
      <c r="C236" s="1205" t="s">
        <v>666</v>
      </c>
      <c r="D236" s="1193"/>
      <c r="E236" s="1206">
        <v>2003</v>
      </c>
      <c r="F236" s="1205" t="s">
        <v>553</v>
      </c>
      <c r="G236" s="767"/>
      <c r="H236" s="1159"/>
      <c r="I236" s="1138" t="s">
        <v>1643</v>
      </c>
      <c r="J236" s="747" t="s">
        <v>1</v>
      </c>
      <c r="K236" s="1196"/>
    </row>
    <row r="237" spans="1:11">
      <c r="A237" s="1130">
        <v>5</v>
      </c>
      <c r="B237" s="1168" t="s">
        <v>29</v>
      </c>
      <c r="C237" s="1205" t="s">
        <v>1527</v>
      </c>
      <c r="D237" s="1204"/>
      <c r="E237" s="1206">
        <v>2005</v>
      </c>
      <c r="F237" s="1205" t="s">
        <v>553</v>
      </c>
      <c r="G237" s="767"/>
      <c r="H237" s="1159"/>
      <c r="I237" s="1138" t="s">
        <v>1638</v>
      </c>
      <c r="J237" s="747" t="s">
        <v>1</v>
      </c>
      <c r="K237" s="1196"/>
    </row>
    <row r="238" spans="1:11">
      <c r="A238" s="1130">
        <v>6</v>
      </c>
      <c r="B238" s="1207" t="s">
        <v>29</v>
      </c>
      <c r="C238" s="1205" t="s">
        <v>1434</v>
      </c>
      <c r="D238" s="1193"/>
      <c r="E238" s="1206">
        <v>2003</v>
      </c>
      <c r="F238" s="1289" t="s">
        <v>1357</v>
      </c>
      <c r="G238" s="767"/>
      <c r="H238" s="1159"/>
      <c r="I238" s="1138" t="s">
        <v>1701</v>
      </c>
      <c r="J238" s="747" t="s">
        <v>13</v>
      </c>
      <c r="K238" s="1196"/>
    </row>
    <row r="239" spans="1:11">
      <c r="A239" s="1130">
        <v>7</v>
      </c>
      <c r="B239" s="1197" t="s">
        <v>27</v>
      </c>
      <c r="C239" s="767" t="s">
        <v>567</v>
      </c>
      <c r="D239" s="1204"/>
      <c r="E239" s="1203">
        <v>1999</v>
      </c>
      <c r="F239" s="767" t="s">
        <v>1702</v>
      </c>
      <c r="G239" s="767"/>
      <c r="H239" s="1159"/>
      <c r="I239" s="1138" t="s">
        <v>1645</v>
      </c>
      <c r="J239" s="747" t="s">
        <v>13</v>
      </c>
      <c r="K239" s="1196"/>
    </row>
    <row r="240" spans="1:11">
      <c r="A240" s="1130"/>
      <c r="J240" s="1196"/>
      <c r="K240" s="1196"/>
    </row>
    <row r="241" spans="1:11">
      <c r="A241" s="1130"/>
      <c r="B241" s="1207"/>
      <c r="C241" s="1143" t="s">
        <v>1689</v>
      </c>
      <c r="D241" s="1284"/>
      <c r="E241" s="1285"/>
      <c r="F241" s="1143"/>
      <c r="G241" s="1215"/>
      <c r="H241" s="1160"/>
      <c r="I241" s="1138"/>
      <c r="J241" s="1196"/>
      <c r="K241" s="1196"/>
    </row>
    <row r="242" spans="1:11">
      <c r="A242" s="1130"/>
      <c r="B242" s="1207"/>
      <c r="C242" s="1205"/>
      <c r="D242" s="1204"/>
      <c r="E242" s="1206"/>
      <c r="F242" s="1215"/>
      <c r="G242" s="1215"/>
      <c r="H242" s="1160"/>
      <c r="I242" s="1138"/>
      <c r="J242" s="1196"/>
      <c r="K242" s="1196"/>
    </row>
    <row r="243" spans="1:11">
      <c r="A243" s="1130">
        <v>1</v>
      </c>
      <c r="B243" s="1207" t="s">
        <v>25</v>
      </c>
      <c r="C243" s="1169" t="s">
        <v>619</v>
      </c>
      <c r="D243" s="1189"/>
      <c r="E243" s="1206">
        <v>1995</v>
      </c>
      <c r="F243" s="1289" t="s">
        <v>1360</v>
      </c>
      <c r="G243" s="766"/>
      <c r="H243" s="1159"/>
      <c r="I243" s="1138" t="s">
        <v>1650</v>
      </c>
      <c r="J243" s="747" t="s">
        <v>1</v>
      </c>
      <c r="K243" s="1196"/>
    </row>
    <row r="244" spans="1:11">
      <c r="A244" s="1130">
        <v>2</v>
      </c>
      <c r="B244" s="1207" t="s">
        <v>29</v>
      </c>
      <c r="C244" s="1205" t="s">
        <v>1531</v>
      </c>
      <c r="D244" s="1204"/>
      <c r="E244" s="1206">
        <v>2004</v>
      </c>
      <c r="F244" s="1215" t="s">
        <v>1357</v>
      </c>
      <c r="G244" s="766"/>
      <c r="H244" s="1133"/>
      <c r="I244" s="1138" t="s">
        <v>1646</v>
      </c>
      <c r="J244" s="747" t="s">
        <v>1</v>
      </c>
      <c r="K244" s="1196"/>
    </row>
    <row r="245" spans="1:11">
      <c r="A245" s="1130">
        <v>3</v>
      </c>
      <c r="B245" s="1158" t="s">
        <v>29</v>
      </c>
      <c r="C245" s="1205" t="s">
        <v>1387</v>
      </c>
      <c r="D245" s="1204"/>
      <c r="E245" s="1206">
        <v>2004</v>
      </c>
      <c r="F245" s="1205" t="s">
        <v>1344</v>
      </c>
      <c r="G245" s="766"/>
      <c r="H245" s="1160"/>
      <c r="I245" s="1138" t="s">
        <v>1649</v>
      </c>
      <c r="J245" s="747" t="s">
        <v>13</v>
      </c>
      <c r="K245" s="1196"/>
    </row>
    <row r="246" spans="1:11">
      <c r="A246" s="1130"/>
      <c r="B246" s="1271" t="s">
        <v>13</v>
      </c>
      <c r="C246" s="1199" t="s">
        <v>1520</v>
      </c>
      <c r="D246" s="1200"/>
      <c r="E246" s="1191">
        <v>2007</v>
      </c>
      <c r="F246" s="1213" t="s">
        <v>553</v>
      </c>
      <c r="G246" s="1213"/>
      <c r="H246" s="1272"/>
      <c r="I246" s="1273" t="s">
        <v>1701</v>
      </c>
      <c r="J246" s="747" t="s">
        <v>13</v>
      </c>
      <c r="K246" s="1196"/>
    </row>
    <row r="247" spans="1:11">
      <c r="A247" s="1130"/>
      <c r="B247" s="1210"/>
      <c r="C247" s="1210"/>
      <c r="D247" s="1210"/>
      <c r="E247" s="1210"/>
      <c r="F247" s="1210"/>
      <c r="G247" s="1210"/>
      <c r="H247" s="1196"/>
      <c r="I247" s="1138"/>
      <c r="K247" s="1196"/>
    </row>
    <row r="248" spans="1:11">
      <c r="A248" s="1130"/>
      <c r="B248" s="1210"/>
      <c r="C248" s="1296" t="s">
        <v>1680</v>
      </c>
      <c r="D248" s="1296"/>
      <c r="E248" s="1297"/>
      <c r="F248" s="1296"/>
      <c r="G248" s="1212"/>
      <c r="H248" s="1196"/>
      <c r="I248" s="1138"/>
      <c r="K248" s="1196"/>
    </row>
    <row r="249" spans="1:11">
      <c r="A249" s="1130"/>
      <c r="B249" s="1207"/>
      <c r="C249" s="1157"/>
      <c r="D249" s="1204"/>
      <c r="E249" s="1206"/>
      <c r="F249" s="1215"/>
      <c r="G249" s="1215"/>
      <c r="H249" s="1160"/>
      <c r="I249" s="1138"/>
      <c r="K249" s="1196"/>
    </row>
    <row r="250" spans="1:11">
      <c r="A250" s="1344">
        <v>1</v>
      </c>
      <c r="B250" s="1339"/>
      <c r="C250" s="1345"/>
      <c r="D250" s="1346"/>
      <c r="E250" s="1347"/>
      <c r="F250" s="1339" t="s">
        <v>1360</v>
      </c>
      <c r="G250" s="1348"/>
      <c r="H250" s="1349"/>
      <c r="I250" s="1350" t="s">
        <v>1663</v>
      </c>
      <c r="J250" s="1351"/>
      <c r="K250" s="1352"/>
    </row>
    <row r="251" spans="1:11">
      <c r="A251" s="1130"/>
      <c r="B251" s="1207" t="s">
        <v>27</v>
      </c>
      <c r="C251" s="1205" t="s">
        <v>1413</v>
      </c>
      <c r="D251" s="1204"/>
      <c r="E251" s="1206">
        <v>1998</v>
      </c>
      <c r="F251" s="1247"/>
      <c r="G251" s="1215"/>
      <c r="H251" s="1160"/>
      <c r="I251" s="1138" t="s">
        <v>1662</v>
      </c>
      <c r="J251" s="747" t="s">
        <v>29</v>
      </c>
      <c r="K251" s="1131"/>
    </row>
    <row r="252" spans="1:11">
      <c r="A252" s="1130"/>
      <c r="B252" s="1158" t="s">
        <v>27</v>
      </c>
      <c r="C252" s="1154" t="s">
        <v>595</v>
      </c>
      <c r="D252" s="1205"/>
      <c r="E252" s="1206">
        <v>2000</v>
      </c>
      <c r="F252" s="1249"/>
      <c r="G252" s="1215"/>
      <c r="H252" s="1162"/>
      <c r="I252" s="1138"/>
      <c r="K252" s="1131"/>
    </row>
    <row r="253" spans="1:11">
      <c r="A253" s="1130"/>
      <c r="B253" s="1207" t="s">
        <v>25</v>
      </c>
      <c r="C253" s="1157" t="s">
        <v>554</v>
      </c>
      <c r="D253" s="1204"/>
      <c r="E253" s="1206">
        <v>1995</v>
      </c>
      <c r="F253" s="1247"/>
      <c r="G253" s="1215"/>
      <c r="H253" s="1160"/>
      <c r="I253" s="1138"/>
      <c r="K253" s="1131"/>
    </row>
    <row r="254" spans="1:11">
      <c r="A254" s="539"/>
      <c r="B254" s="1207" t="s">
        <v>23</v>
      </c>
      <c r="C254" s="1205" t="s">
        <v>552</v>
      </c>
      <c r="D254" s="1204"/>
      <c r="E254" s="1206">
        <v>1993</v>
      </c>
      <c r="F254" s="1247"/>
      <c r="G254" s="1215"/>
      <c r="H254" s="1209"/>
      <c r="I254" s="1138"/>
      <c r="K254" s="539"/>
    </row>
    <row r="255" spans="1:11">
      <c r="A255" s="539"/>
      <c r="B255" s="1207"/>
      <c r="C255" s="1205"/>
      <c r="D255" s="1204"/>
      <c r="E255" s="1206"/>
      <c r="F255" s="1247"/>
      <c r="G255" s="1215"/>
      <c r="H255" s="1209"/>
      <c r="I255" s="1138"/>
      <c r="K255" s="539"/>
    </row>
    <row r="256" spans="1:11">
      <c r="A256" s="1344">
        <v>2</v>
      </c>
      <c r="B256" s="1353"/>
      <c r="C256" s="1354"/>
      <c r="D256" s="1354"/>
      <c r="E256" s="1353"/>
      <c r="F256" s="1360" t="s">
        <v>1357</v>
      </c>
      <c r="G256" s="1354"/>
      <c r="H256" s="1355"/>
      <c r="I256" s="1350" t="s">
        <v>1664</v>
      </c>
      <c r="J256" s="1356"/>
      <c r="K256" s="1357"/>
    </row>
    <row r="257" spans="1:11">
      <c r="A257" s="1130"/>
      <c r="B257" s="538" t="s">
        <v>27</v>
      </c>
      <c r="C257" s="539" t="s">
        <v>1423</v>
      </c>
      <c r="D257" s="539"/>
      <c r="E257" s="538">
        <v>2002</v>
      </c>
      <c r="F257" s="1242"/>
      <c r="G257" s="539"/>
      <c r="H257" s="539"/>
      <c r="I257" s="1138" t="s">
        <v>1665</v>
      </c>
      <c r="J257" s="747" t="s">
        <v>1</v>
      </c>
      <c r="K257" s="1135"/>
    </row>
    <row r="258" spans="1:11">
      <c r="A258" s="1130"/>
      <c r="B258" s="538" t="s">
        <v>27</v>
      </c>
      <c r="C258" s="539" t="s">
        <v>668</v>
      </c>
      <c r="D258" s="539"/>
      <c r="E258" s="538">
        <v>2004</v>
      </c>
      <c r="F258" s="1242"/>
      <c r="G258" s="539"/>
      <c r="H258" s="539"/>
      <c r="I258" s="1138"/>
      <c r="K258" s="1135"/>
    </row>
    <row r="259" spans="1:11">
      <c r="A259" s="1130"/>
      <c r="B259" s="1158" t="s">
        <v>29</v>
      </c>
      <c r="C259" s="1205" t="s">
        <v>1441</v>
      </c>
      <c r="D259" s="1205"/>
      <c r="E259" s="1206">
        <v>2003</v>
      </c>
      <c r="F259" s="1250"/>
      <c r="G259" s="1215"/>
      <c r="H259" s="1156"/>
      <c r="I259" s="1138"/>
      <c r="K259" s="539"/>
    </row>
    <row r="260" spans="1:11">
      <c r="A260" s="1130"/>
      <c r="B260" s="1158" t="s">
        <v>29</v>
      </c>
      <c r="C260" s="1154" t="s">
        <v>1409</v>
      </c>
      <c r="D260" s="1215"/>
      <c r="E260" s="1206">
        <v>2003</v>
      </c>
      <c r="F260" s="1250"/>
      <c r="G260" s="1215"/>
      <c r="H260" s="1156"/>
      <c r="I260" s="1138"/>
    </row>
    <row r="261" spans="1:11">
      <c r="A261" s="1130"/>
      <c r="B261" s="1207"/>
      <c r="C261" s="1205"/>
      <c r="D261" s="1204"/>
      <c r="E261" s="1206"/>
      <c r="F261" s="1215"/>
      <c r="G261" s="1215"/>
      <c r="H261" s="1209"/>
      <c r="I261" s="1138"/>
    </row>
    <row r="262" spans="1:11">
      <c r="A262" s="1344">
        <v>3</v>
      </c>
      <c r="B262" s="1361"/>
      <c r="C262" s="1362"/>
      <c r="D262" s="1363"/>
      <c r="E262" s="1364"/>
      <c r="F262" s="1368" t="s">
        <v>553</v>
      </c>
      <c r="G262" s="1365"/>
      <c r="H262" s="1366"/>
      <c r="I262" s="1350" t="s">
        <v>1666</v>
      </c>
      <c r="J262" s="1356"/>
      <c r="K262" s="1367"/>
    </row>
    <row r="263" spans="1:11">
      <c r="A263" s="1130"/>
      <c r="B263" s="1158" t="s">
        <v>29</v>
      </c>
      <c r="C263" s="1154" t="s">
        <v>1489</v>
      </c>
      <c r="D263" s="1205"/>
      <c r="E263" s="1206">
        <v>2005</v>
      </c>
      <c r="F263" s="1249"/>
      <c r="G263" s="1215"/>
      <c r="H263" s="1162"/>
      <c r="I263" s="1138" t="s">
        <v>1667</v>
      </c>
      <c r="J263" s="747" t="s">
        <v>13</v>
      </c>
      <c r="K263" s="1131"/>
    </row>
    <row r="264" spans="1:11">
      <c r="A264" s="539"/>
      <c r="B264" s="1207" t="s">
        <v>29</v>
      </c>
      <c r="C264" s="1157" t="s">
        <v>1404</v>
      </c>
      <c r="D264" s="1204"/>
      <c r="E264" s="1206">
        <v>2005</v>
      </c>
      <c r="F264" s="1247"/>
      <c r="G264" s="1215"/>
      <c r="H264" s="1160"/>
      <c r="I264" s="1138"/>
      <c r="K264" s="1131"/>
    </row>
    <row r="265" spans="1:11">
      <c r="A265" s="1130"/>
      <c r="B265" s="1207" t="s">
        <v>29</v>
      </c>
      <c r="C265" s="1154" t="s">
        <v>1363</v>
      </c>
      <c r="D265" s="1215"/>
      <c r="E265" s="1206">
        <v>2005</v>
      </c>
      <c r="F265" s="1249"/>
      <c r="G265" s="1215"/>
      <c r="H265" s="1162"/>
      <c r="I265" s="1138"/>
      <c r="K265" s="1131"/>
    </row>
    <row r="266" spans="1:11">
      <c r="A266" s="1130"/>
      <c r="B266" s="1132" t="s">
        <v>29</v>
      </c>
      <c r="C266" s="1135" t="s">
        <v>1488</v>
      </c>
      <c r="D266" s="1135"/>
      <c r="E266" s="1132">
        <v>2005</v>
      </c>
      <c r="F266" s="1248"/>
      <c r="G266" s="1135"/>
      <c r="H266" s="1133"/>
      <c r="I266" s="1138"/>
      <c r="K266" s="1131"/>
    </row>
    <row r="267" spans="1:11">
      <c r="A267" s="1130"/>
      <c r="B267" s="1139"/>
      <c r="C267" s="1210"/>
      <c r="D267" s="1210"/>
      <c r="E267" s="1210"/>
      <c r="F267" s="1210"/>
      <c r="G267" s="1210"/>
      <c r="H267" s="1210"/>
      <c r="I267" s="1138"/>
    </row>
    <row r="268" spans="1:11">
      <c r="A268" s="1130"/>
      <c r="B268" s="1139"/>
      <c r="C268" s="1296" t="s">
        <v>1681</v>
      </c>
      <c r="D268" s="1296"/>
      <c r="E268" s="1297"/>
      <c r="F268" s="1296"/>
      <c r="G268" s="1210"/>
      <c r="H268" s="1210"/>
      <c r="I268" s="1138"/>
    </row>
    <row r="269" spans="1:11">
      <c r="A269" s="1130"/>
      <c r="B269" s="1158"/>
      <c r="C269" s="1215"/>
      <c r="D269" s="1215"/>
      <c r="E269" s="1245"/>
      <c r="F269" s="1249"/>
      <c r="G269" s="1215"/>
      <c r="H269" s="1156"/>
      <c r="I269" s="1138"/>
    </row>
    <row r="270" spans="1:11">
      <c r="A270" s="1335">
        <v>1</v>
      </c>
      <c r="B270" s="1369"/>
      <c r="C270" s="1336"/>
      <c r="D270" s="1337"/>
      <c r="E270" s="1370"/>
      <c r="F270" s="1368" t="s">
        <v>1360</v>
      </c>
      <c r="G270" s="1371"/>
      <c r="H270" s="1372"/>
      <c r="I270" s="1341" t="s">
        <v>1668</v>
      </c>
      <c r="J270" s="1342"/>
      <c r="K270" s="1342"/>
    </row>
    <row r="271" spans="1:11">
      <c r="A271" s="1130"/>
      <c r="B271" s="1207" t="s">
        <v>29</v>
      </c>
      <c r="C271" s="1205" t="s">
        <v>1416</v>
      </c>
      <c r="D271" s="1204"/>
      <c r="E271" s="1206">
        <v>2003</v>
      </c>
      <c r="F271" s="1251"/>
      <c r="G271" s="23"/>
      <c r="H271" s="1208"/>
      <c r="I271" s="1138" t="s">
        <v>1669</v>
      </c>
      <c r="J271" s="747" t="s">
        <v>29</v>
      </c>
    </row>
    <row r="272" spans="1:11">
      <c r="A272" s="1130"/>
      <c r="B272" s="1132" t="s">
        <v>25</v>
      </c>
      <c r="C272" s="1135" t="s">
        <v>619</v>
      </c>
      <c r="D272" s="1135"/>
      <c r="E272" s="1132">
        <v>1995</v>
      </c>
      <c r="F272" s="1248"/>
      <c r="G272" s="1135"/>
      <c r="H272" s="1135"/>
      <c r="I272" s="1138"/>
    </row>
    <row r="273" spans="1:11">
      <c r="A273" s="1130"/>
      <c r="B273" s="1132" t="s">
        <v>25</v>
      </c>
      <c r="C273" s="1135" t="s">
        <v>1408</v>
      </c>
      <c r="D273" s="1131"/>
      <c r="E273" s="1144">
        <v>2001</v>
      </c>
      <c r="F273" s="1248"/>
      <c r="G273" s="1135"/>
      <c r="H273" s="1135"/>
      <c r="I273" s="1138"/>
    </row>
    <row r="274" spans="1:11">
      <c r="A274" s="539"/>
      <c r="B274" s="1136" t="s">
        <v>25</v>
      </c>
      <c r="C274" s="1131" t="s">
        <v>600</v>
      </c>
      <c r="D274" s="1131"/>
      <c r="E274" s="1144">
        <v>1997</v>
      </c>
      <c r="F274" s="1243"/>
      <c r="G274" s="539"/>
      <c r="H274" s="751"/>
      <c r="I274" s="1138"/>
    </row>
    <row r="275" spans="1:11">
      <c r="A275" s="539"/>
      <c r="B275" s="538"/>
      <c r="C275" s="539"/>
      <c r="D275" s="539"/>
      <c r="E275" s="1144"/>
      <c r="F275" s="1243"/>
      <c r="G275" s="539"/>
      <c r="H275" s="751"/>
      <c r="I275" s="1138"/>
    </row>
    <row r="276" spans="1:11">
      <c r="A276" s="1335">
        <v>2</v>
      </c>
      <c r="B276" s="1369"/>
      <c r="C276" s="1336"/>
      <c r="D276" s="1337"/>
      <c r="E276" s="1338"/>
      <c r="F276" s="1368" t="s">
        <v>1553</v>
      </c>
      <c r="G276" s="1371"/>
      <c r="H276" s="1372"/>
      <c r="I276" s="1341" t="s">
        <v>1670</v>
      </c>
      <c r="J276" s="1342"/>
      <c r="K276" s="1342"/>
    </row>
    <row r="277" spans="1:11">
      <c r="A277" s="1130"/>
      <c r="B277" s="1207" t="s">
        <v>29</v>
      </c>
      <c r="C277" s="1215" t="s">
        <v>1348</v>
      </c>
      <c r="D277" s="1215"/>
      <c r="E277" s="1206">
        <v>2003</v>
      </c>
      <c r="F277" s="1249"/>
      <c r="G277" s="1215"/>
      <c r="H277" s="1156"/>
      <c r="I277" s="1138" t="s">
        <v>1671</v>
      </c>
      <c r="J277" s="747" t="s">
        <v>1</v>
      </c>
    </row>
    <row r="278" spans="1:11">
      <c r="A278" s="1130"/>
      <c r="B278" s="1207" t="s">
        <v>29</v>
      </c>
      <c r="C278" s="1205" t="s">
        <v>1387</v>
      </c>
      <c r="D278" s="1204"/>
      <c r="E278" s="1206">
        <v>2004</v>
      </c>
      <c r="F278" s="1247"/>
      <c r="G278" s="1215"/>
      <c r="H278" s="1208"/>
    </row>
    <row r="279" spans="1:11">
      <c r="A279" s="1130"/>
      <c r="B279" s="1207" t="s">
        <v>27</v>
      </c>
      <c r="C279" s="1205" t="s">
        <v>1388</v>
      </c>
      <c r="D279" s="1204"/>
      <c r="E279" s="1206">
        <v>2002</v>
      </c>
      <c r="F279" s="1247"/>
      <c r="G279" s="1215"/>
      <c r="H279" s="1208"/>
      <c r="I279" s="1138"/>
    </row>
    <row r="280" spans="1:11">
      <c r="A280" s="1130"/>
      <c r="B280" s="1207" t="s">
        <v>25</v>
      </c>
      <c r="C280" s="1205" t="s">
        <v>566</v>
      </c>
      <c r="D280" s="1204"/>
      <c r="E280" s="1206">
        <v>1998</v>
      </c>
      <c r="F280" s="1247"/>
      <c r="G280" s="1215"/>
      <c r="H280" s="1208"/>
      <c r="I280" s="1138"/>
    </row>
    <row r="281" spans="1:11">
      <c r="A281" s="1130"/>
      <c r="B281" s="1207"/>
      <c r="C281" s="1205"/>
      <c r="D281" s="1204"/>
      <c r="E281" s="1206"/>
      <c r="F281" s="1247"/>
      <c r="G281" s="1215"/>
      <c r="H281" s="1208"/>
      <c r="I281" s="1138"/>
    </row>
    <row r="282" spans="1:11">
      <c r="A282" s="1335">
        <v>3</v>
      </c>
      <c r="B282" s="1373"/>
      <c r="C282" s="1374"/>
      <c r="D282" s="1374"/>
      <c r="E282" s="1373"/>
      <c r="F282" s="1360" t="s">
        <v>1554</v>
      </c>
      <c r="G282" s="1374"/>
      <c r="H282" s="1375"/>
      <c r="I282" s="1341" t="s">
        <v>1672</v>
      </c>
      <c r="J282" s="1342"/>
      <c r="K282" s="1342"/>
    </row>
    <row r="283" spans="1:11">
      <c r="A283" s="539"/>
      <c r="B283" s="538" t="s">
        <v>29</v>
      </c>
      <c r="C283" s="1131" t="s">
        <v>1468</v>
      </c>
      <c r="D283" s="1131"/>
      <c r="E283" s="1206">
        <v>2004</v>
      </c>
      <c r="F283" s="1243"/>
      <c r="G283" s="539"/>
      <c r="H283" s="539"/>
      <c r="I283" s="1138" t="s">
        <v>1673</v>
      </c>
      <c r="J283" s="747" t="s">
        <v>1</v>
      </c>
    </row>
    <row r="284" spans="1:11">
      <c r="A284" s="539"/>
      <c r="B284" s="1236" t="s">
        <v>1</v>
      </c>
      <c r="C284" s="1131" t="s">
        <v>1514</v>
      </c>
      <c r="D284" s="1131"/>
      <c r="E284" s="1136">
        <v>2005</v>
      </c>
      <c r="F284" s="1243"/>
      <c r="G284" s="539"/>
      <c r="H284" s="539"/>
      <c r="I284" s="1138"/>
    </row>
    <row r="285" spans="1:11">
      <c r="A285" s="1130"/>
      <c r="B285" s="1236" t="s">
        <v>1</v>
      </c>
      <c r="C285" s="1131" t="s">
        <v>1469</v>
      </c>
      <c r="D285" s="1131"/>
      <c r="E285" s="1136">
        <v>2005</v>
      </c>
      <c r="F285" s="1243"/>
      <c r="G285" s="539"/>
      <c r="H285" s="539"/>
      <c r="I285" s="1138"/>
    </row>
    <row r="286" spans="1:11">
      <c r="A286" s="1130"/>
      <c r="B286" s="1207" t="s">
        <v>27</v>
      </c>
      <c r="C286" s="1205" t="s">
        <v>1467</v>
      </c>
      <c r="D286" s="1204"/>
      <c r="E286" s="1206">
        <v>2004</v>
      </c>
      <c r="F286" s="1247"/>
      <c r="G286" s="1215"/>
      <c r="H286" s="1208"/>
      <c r="I286" s="1138"/>
    </row>
    <row r="287" spans="1:11">
      <c r="A287" s="1130"/>
      <c r="B287" s="1207"/>
      <c r="C287" s="1205"/>
      <c r="D287" s="1204"/>
      <c r="E287" s="1206"/>
      <c r="F287" s="1247"/>
      <c r="G287" s="1215"/>
      <c r="H287" s="1131"/>
      <c r="I287" s="1138"/>
    </row>
    <row r="288" spans="1:11">
      <c r="A288" s="1335">
        <v>4</v>
      </c>
      <c r="B288" s="1369"/>
      <c r="C288" s="1336"/>
      <c r="D288" s="1337"/>
      <c r="E288" s="1338"/>
      <c r="F288" s="1368" t="s">
        <v>1555</v>
      </c>
      <c r="G288" s="1371"/>
      <c r="H288" s="1343"/>
      <c r="I288" s="1341" t="s">
        <v>1674</v>
      </c>
      <c r="J288" s="1342"/>
      <c r="K288" s="1342"/>
    </row>
    <row r="289" spans="1:11">
      <c r="A289" s="1130"/>
      <c r="B289" s="1207" t="s">
        <v>27</v>
      </c>
      <c r="C289" s="1205" t="s">
        <v>1349</v>
      </c>
      <c r="D289" s="1204"/>
      <c r="E289" s="1206">
        <v>2003</v>
      </c>
      <c r="F289" s="1247"/>
      <c r="G289" s="1215"/>
      <c r="H289" s="1131"/>
      <c r="I289" s="1138" t="s">
        <v>1675</v>
      </c>
      <c r="J289" s="747" t="s">
        <v>1</v>
      </c>
    </row>
    <row r="290" spans="1:11">
      <c r="A290" s="1130"/>
      <c r="B290" s="1207" t="s">
        <v>27</v>
      </c>
      <c r="C290" s="1205" t="s">
        <v>1374</v>
      </c>
      <c r="D290" s="1204"/>
      <c r="E290" s="1206">
        <v>2003</v>
      </c>
      <c r="F290" s="1247"/>
      <c r="G290" s="1215"/>
      <c r="H290" s="1131"/>
      <c r="I290" s="1138"/>
    </row>
    <row r="291" spans="1:11">
      <c r="A291" s="1130"/>
      <c r="B291" s="1207" t="s">
        <v>29</v>
      </c>
      <c r="C291" s="1131" t="s">
        <v>1376</v>
      </c>
      <c r="D291" s="1131"/>
      <c r="E291" s="1136">
        <v>2006</v>
      </c>
      <c r="F291" s="1253"/>
      <c r="G291" s="1131"/>
      <c r="H291" s="1131"/>
      <c r="I291" s="1138"/>
    </row>
    <row r="292" spans="1:11">
      <c r="A292" s="1130"/>
      <c r="B292" s="538" t="s">
        <v>29</v>
      </c>
      <c r="C292" s="539" t="s">
        <v>1531</v>
      </c>
      <c r="D292" s="539"/>
      <c r="E292" s="538">
        <v>2004</v>
      </c>
      <c r="F292" s="1243"/>
      <c r="G292" s="539"/>
      <c r="H292" s="539"/>
      <c r="I292" s="1138"/>
    </row>
    <row r="293" spans="1:11">
      <c r="A293" s="1130"/>
      <c r="B293" s="1132"/>
      <c r="C293" s="1135"/>
      <c r="D293" s="1135"/>
      <c r="E293" s="1132"/>
      <c r="F293" s="1135"/>
      <c r="G293" s="1135"/>
      <c r="H293" s="1135"/>
      <c r="I293" s="1138"/>
    </row>
    <row r="294" spans="1:11">
      <c r="A294" s="1335">
        <v>5</v>
      </c>
      <c r="B294" s="1369"/>
      <c r="C294" s="1336"/>
      <c r="D294" s="1337"/>
      <c r="E294" s="1338"/>
      <c r="F294" s="1368" t="s">
        <v>553</v>
      </c>
      <c r="G294" s="1371"/>
      <c r="H294" s="1376"/>
      <c r="I294" s="1341" t="s">
        <v>1676</v>
      </c>
      <c r="J294" s="1342"/>
      <c r="K294" s="1342"/>
    </row>
    <row r="295" spans="1:11">
      <c r="A295" s="1130"/>
      <c r="B295" s="1236" t="s">
        <v>1</v>
      </c>
      <c r="C295" s="1205" t="s">
        <v>1472</v>
      </c>
      <c r="D295" s="1204"/>
      <c r="E295" s="1206">
        <v>2005</v>
      </c>
      <c r="F295" s="1247"/>
      <c r="G295" s="1215"/>
      <c r="H295" s="1209"/>
      <c r="I295" s="1138" t="s">
        <v>1677</v>
      </c>
      <c r="J295" s="747" t="s">
        <v>1</v>
      </c>
    </row>
    <row r="296" spans="1:11">
      <c r="A296" s="1130"/>
      <c r="B296" s="1236" t="s">
        <v>1</v>
      </c>
      <c r="C296" s="1205" t="s">
        <v>1013</v>
      </c>
      <c r="D296" s="1204"/>
      <c r="E296" s="1206">
        <v>2005</v>
      </c>
      <c r="F296" s="1247"/>
      <c r="G296" s="1215"/>
      <c r="H296" s="1209"/>
      <c r="I296" s="1138"/>
    </row>
    <row r="297" spans="1:11">
      <c r="A297" s="1130"/>
      <c r="B297" s="538" t="s">
        <v>29</v>
      </c>
      <c r="C297" s="1131" t="s">
        <v>1474</v>
      </c>
      <c r="D297" s="539"/>
      <c r="E297" s="538">
        <v>2006</v>
      </c>
      <c r="F297" s="1243"/>
      <c r="G297" s="539"/>
      <c r="H297" s="539"/>
      <c r="I297" s="1138"/>
    </row>
    <row r="298" spans="1:11">
      <c r="A298" s="539"/>
      <c r="B298" s="538" t="s">
        <v>29</v>
      </c>
      <c r="C298" s="47" t="s">
        <v>1010</v>
      </c>
      <c r="D298" s="539"/>
      <c r="E298" s="538">
        <v>2006</v>
      </c>
      <c r="F298" s="1243"/>
      <c r="G298" s="539"/>
      <c r="H298" s="1252"/>
      <c r="I298" s="1138"/>
    </row>
    <row r="299" spans="1:11">
      <c r="A299" s="539"/>
      <c r="B299" s="538"/>
      <c r="C299" s="539"/>
      <c r="D299" s="539"/>
      <c r="E299" s="538"/>
      <c r="F299" s="1243"/>
      <c r="G299" s="539"/>
      <c r="H299" s="539"/>
      <c r="I299" s="1138"/>
    </row>
    <row r="300" spans="1:11">
      <c r="A300" s="1210"/>
      <c r="B300" s="1210"/>
      <c r="C300" s="524" t="s">
        <v>1813</v>
      </c>
      <c r="D300" s="525"/>
      <c r="E300" s="526"/>
      <c r="F300" s="524"/>
      <c r="G300" s="524"/>
      <c r="H300" s="537"/>
      <c r="I300" s="529"/>
    </row>
    <row r="301" spans="1:11" ht="13.5" customHeight="1">
      <c r="A301" s="133"/>
      <c r="C301" s="135"/>
      <c r="D301" s="133"/>
      <c r="E301" s="1129"/>
      <c r="F301" s="133"/>
      <c r="G301" s="133"/>
      <c r="H301" s="729"/>
      <c r="K301" s="732"/>
    </row>
    <row r="302" spans="1:11">
      <c r="A302" s="1130">
        <v>1</v>
      </c>
      <c r="B302" s="1168" t="s">
        <v>29</v>
      </c>
      <c r="C302" s="1205" t="s">
        <v>1527</v>
      </c>
      <c r="D302" s="1204"/>
      <c r="E302" s="1206">
        <v>2005</v>
      </c>
      <c r="F302" s="1310" t="s">
        <v>553</v>
      </c>
      <c r="G302" s="766"/>
      <c r="I302" s="1160">
        <v>20.29</v>
      </c>
      <c r="J302" s="747" t="str">
        <f t="shared" ref="J302:J310" si="4">IF(ISBLANK(I302)," ",IF(ISTEXT(I302)," ",IF(I302&lt;=18.1,"МСМК",IF(I302&lt;=19,"МС",IF(I302&lt;=19.7,"КМС",IF(I302&lt;=21.1,"I",IF(I302&lt;=22.9,"II",IF(I302&lt;=24.8,"III",IF(I302&lt;=27.4,"I юн",IF(I302&lt;=30,"II юн",IF(I302&lt;=32.4,"III юн",IF(ISTEXT(I302)," ",IF(ISBLANK(I302)," ","б/р")))))))))))))</f>
        <v>I</v>
      </c>
      <c r="K302" s="765"/>
    </row>
    <row r="303" spans="1:11">
      <c r="A303" s="1130">
        <v>2</v>
      </c>
      <c r="B303" s="1207" t="s">
        <v>27</v>
      </c>
      <c r="C303" s="1205" t="s">
        <v>668</v>
      </c>
      <c r="D303" s="1204"/>
      <c r="E303" s="1206">
        <v>2004</v>
      </c>
      <c r="F303" s="1310" t="s">
        <v>1357</v>
      </c>
      <c r="G303" s="766"/>
      <c r="I303" s="1160">
        <v>20.67</v>
      </c>
      <c r="J303" s="747" t="str">
        <f t="shared" si="4"/>
        <v>I</v>
      </c>
    </row>
    <row r="304" spans="1:11">
      <c r="A304" s="1130">
        <v>3</v>
      </c>
      <c r="B304" s="1168" t="s">
        <v>29</v>
      </c>
      <c r="C304" s="1205" t="s">
        <v>1366</v>
      </c>
      <c r="D304" s="1204"/>
      <c r="E304" s="1206">
        <v>2006</v>
      </c>
      <c r="F304" s="1310" t="s">
        <v>553</v>
      </c>
      <c r="G304" s="766"/>
      <c r="I304" s="1160">
        <v>20.83</v>
      </c>
      <c r="J304" s="747" t="str">
        <f t="shared" si="4"/>
        <v>I</v>
      </c>
      <c r="K304" s="1196"/>
    </row>
    <row r="305" spans="1:11">
      <c r="A305" s="1130">
        <v>4</v>
      </c>
      <c r="B305" s="1201" t="s">
        <v>29</v>
      </c>
      <c r="C305" s="1205" t="s">
        <v>1025</v>
      </c>
      <c r="D305" s="1204"/>
      <c r="E305" s="1206">
        <v>2006</v>
      </c>
      <c r="F305" s="1310" t="s">
        <v>1445</v>
      </c>
      <c r="G305" s="766"/>
      <c r="I305" s="1160">
        <v>21.27</v>
      </c>
      <c r="J305" s="747" t="str">
        <f t="shared" si="4"/>
        <v>II</v>
      </c>
      <c r="K305" s="1160"/>
    </row>
    <row r="306" spans="1:11">
      <c r="A306" s="1130">
        <v>5</v>
      </c>
      <c r="B306" s="1168" t="s">
        <v>27</v>
      </c>
      <c r="C306" s="1205" t="s">
        <v>1489</v>
      </c>
      <c r="D306" s="1204"/>
      <c r="E306" s="1206">
        <v>2005</v>
      </c>
      <c r="F306" s="1310" t="s">
        <v>553</v>
      </c>
      <c r="G306" s="766"/>
      <c r="I306" s="1160">
        <v>21.7</v>
      </c>
      <c r="J306" s="747" t="str">
        <f t="shared" si="4"/>
        <v>II</v>
      </c>
    </row>
    <row r="307" spans="1:11">
      <c r="A307" s="1130">
        <v>6</v>
      </c>
      <c r="B307" s="1168" t="s">
        <v>29</v>
      </c>
      <c r="C307" s="1205" t="s">
        <v>1365</v>
      </c>
      <c r="D307" s="1204"/>
      <c r="E307" s="1206">
        <v>2006</v>
      </c>
      <c r="F307" s="1310" t="s">
        <v>553</v>
      </c>
      <c r="G307" s="766"/>
      <c r="I307" s="1160">
        <v>21.95</v>
      </c>
      <c r="J307" s="747" t="str">
        <f t="shared" si="4"/>
        <v>II</v>
      </c>
      <c r="K307" s="1160"/>
    </row>
    <row r="308" spans="1:11">
      <c r="A308" s="1130">
        <v>7</v>
      </c>
      <c r="B308" s="1207" t="s">
        <v>29</v>
      </c>
      <c r="C308" s="1205" t="s">
        <v>1441</v>
      </c>
      <c r="D308" s="1204"/>
      <c r="E308" s="1206">
        <v>2003</v>
      </c>
      <c r="F308" s="1312" t="s">
        <v>1357</v>
      </c>
      <c r="G308" s="766"/>
      <c r="I308" s="1160">
        <v>22.21</v>
      </c>
      <c r="J308" s="747" t="str">
        <f t="shared" si="4"/>
        <v>II</v>
      </c>
      <c r="K308" s="1160"/>
    </row>
    <row r="309" spans="1:11">
      <c r="A309" s="1130">
        <v>8</v>
      </c>
      <c r="B309" s="1207" t="s">
        <v>1</v>
      </c>
      <c r="C309" s="1205" t="s">
        <v>1435</v>
      </c>
      <c r="D309" s="1204"/>
      <c r="E309" s="1206">
        <v>2003</v>
      </c>
      <c r="F309" s="1310" t="s">
        <v>553</v>
      </c>
      <c r="G309" s="766"/>
      <c r="I309" s="1160">
        <v>22.78</v>
      </c>
      <c r="J309" s="747" t="str">
        <f t="shared" si="4"/>
        <v>II</v>
      </c>
      <c r="K309" s="1160"/>
    </row>
    <row r="310" spans="1:11">
      <c r="A310" s="1130">
        <v>9</v>
      </c>
      <c r="B310" s="1207" t="s">
        <v>13</v>
      </c>
      <c r="C310" s="1205" t="s">
        <v>1358</v>
      </c>
      <c r="D310" s="1204"/>
      <c r="E310" s="1206">
        <v>2006</v>
      </c>
      <c r="F310" s="1310" t="s">
        <v>1357</v>
      </c>
      <c r="G310" s="766"/>
      <c r="I310" s="1160">
        <v>31.08</v>
      </c>
      <c r="J310" s="747" t="str">
        <f t="shared" si="4"/>
        <v>III юн</v>
      </c>
      <c r="K310" s="1160"/>
    </row>
    <row r="311" spans="1:11">
      <c r="A311" s="1130"/>
      <c r="B311" s="1207" t="s">
        <v>27</v>
      </c>
      <c r="C311" s="1205" t="s">
        <v>1347</v>
      </c>
      <c r="D311" s="1204"/>
      <c r="E311" s="1206">
        <v>2003</v>
      </c>
      <c r="F311" s="1312" t="s">
        <v>1445</v>
      </c>
      <c r="G311" s="766"/>
      <c r="I311" s="1160" t="s">
        <v>1621</v>
      </c>
      <c r="K311" s="765"/>
    </row>
    <row r="312" spans="1:11">
      <c r="A312" s="1130"/>
      <c r="B312" s="1207"/>
      <c r="C312" s="1205"/>
      <c r="D312" s="1204"/>
      <c r="E312" s="1206"/>
      <c r="F312" s="1310"/>
      <c r="G312" s="766"/>
      <c r="I312" s="1160"/>
      <c r="K312" s="765"/>
    </row>
    <row r="313" spans="1:11">
      <c r="A313" s="1130"/>
      <c r="B313" s="1207"/>
      <c r="C313" s="524" t="s">
        <v>1814</v>
      </c>
      <c r="D313" s="525"/>
      <c r="E313" s="526"/>
      <c r="F313" s="524"/>
      <c r="G313" s="766"/>
      <c r="I313" s="1160"/>
      <c r="K313" s="1160"/>
    </row>
    <row r="314" spans="1:11">
      <c r="A314" s="1130"/>
      <c r="B314" s="1207"/>
      <c r="C314" s="524"/>
      <c r="D314" s="525"/>
      <c r="E314" s="526"/>
      <c r="F314" s="524"/>
      <c r="G314" s="766"/>
      <c r="I314" s="1160"/>
      <c r="K314" s="1160"/>
    </row>
    <row r="315" spans="1:11">
      <c r="A315" s="1130">
        <v>1</v>
      </c>
      <c r="B315" s="1202" t="s">
        <v>25</v>
      </c>
      <c r="C315" s="1318" t="s">
        <v>1738</v>
      </c>
      <c r="D315" s="1204"/>
      <c r="E315" s="1203">
        <v>1997</v>
      </c>
      <c r="F315" s="17" t="s">
        <v>1360</v>
      </c>
      <c r="G315" s="767"/>
      <c r="I315" s="1160">
        <v>16.7</v>
      </c>
      <c r="J315" s="747" t="s">
        <v>29</v>
      </c>
      <c r="K315" s="1176"/>
    </row>
    <row r="316" spans="1:11">
      <c r="A316" s="1130">
        <v>2</v>
      </c>
      <c r="B316" s="1207" t="s">
        <v>25</v>
      </c>
      <c r="C316" s="1205" t="s">
        <v>566</v>
      </c>
      <c r="D316" s="1204"/>
      <c r="E316" s="1206">
        <v>1998</v>
      </c>
      <c r="F316" s="1205" t="s">
        <v>1344</v>
      </c>
      <c r="G316" s="767"/>
      <c r="I316" s="1163">
        <v>17.059999999999999</v>
      </c>
      <c r="J316" s="747" t="str">
        <f t="shared" ref="J316:J330" si="5">IF(ISBLANK(I316)," ",IF(ISTEXT(I316)," ",IF(I316&lt;=15.9,"МСМК",IF(I316&lt;=16.9,"МС",IF(I316&lt;=17.6,"КМС",IF(I316&lt;=18.5,"I",IF(I316&lt;=20.1,"II",IF(I316&lt;=21.9,"III",IF(I316&lt;=24,"I юн",IF(I316&lt;=26.2,"II юн",IF(I316&lt;=28.4,"III юн","б/р")))))))))))</f>
        <v>КМС</v>
      </c>
      <c r="K316" s="1160"/>
    </row>
    <row r="317" spans="1:11">
      <c r="A317" s="1130">
        <v>3</v>
      </c>
      <c r="B317" s="1168" t="s">
        <v>29</v>
      </c>
      <c r="C317" s="1205" t="s">
        <v>997</v>
      </c>
      <c r="D317" s="1204"/>
      <c r="E317" s="1206">
        <v>2006</v>
      </c>
      <c r="F317" s="1205" t="s">
        <v>1344</v>
      </c>
      <c r="G317" s="767"/>
      <c r="I317" s="1160">
        <v>17.8</v>
      </c>
      <c r="J317" s="747" t="str">
        <f t="shared" si="5"/>
        <v>I</v>
      </c>
      <c r="K317" s="1176"/>
    </row>
    <row r="318" spans="1:11">
      <c r="A318" s="1130">
        <v>4</v>
      </c>
      <c r="B318" s="1207" t="s">
        <v>27</v>
      </c>
      <c r="C318" s="1205" t="s">
        <v>1532</v>
      </c>
      <c r="D318" s="1204"/>
      <c r="E318" s="1206">
        <v>1999</v>
      </c>
      <c r="F318" s="1312" t="s">
        <v>1357</v>
      </c>
      <c r="G318" s="767"/>
      <c r="I318" s="1160">
        <v>18.07</v>
      </c>
      <c r="J318" s="747" t="str">
        <f t="shared" si="5"/>
        <v>I</v>
      </c>
      <c r="K318" s="1160"/>
    </row>
    <row r="319" spans="1:11">
      <c r="A319" s="1130">
        <v>5</v>
      </c>
      <c r="B319" s="1168" t="s">
        <v>29</v>
      </c>
      <c r="C319" s="1205" t="s">
        <v>1012</v>
      </c>
      <c r="D319" s="1204"/>
      <c r="E319" s="1206">
        <v>2006</v>
      </c>
      <c r="F319" s="1310" t="s">
        <v>553</v>
      </c>
      <c r="G319" s="767"/>
      <c r="I319" s="1160">
        <v>18.52</v>
      </c>
      <c r="J319" s="747" t="str">
        <f t="shared" si="5"/>
        <v>II</v>
      </c>
      <c r="K319" s="1160"/>
    </row>
    <row r="320" spans="1:11">
      <c r="A320" s="1130">
        <v>6</v>
      </c>
      <c r="B320" s="1207" t="s">
        <v>29</v>
      </c>
      <c r="C320" s="1205" t="s">
        <v>1389</v>
      </c>
      <c r="D320" s="1204"/>
      <c r="E320" s="1206">
        <v>2001</v>
      </c>
      <c r="F320" s="1205" t="s">
        <v>1344</v>
      </c>
      <c r="G320" s="767"/>
      <c r="I320" s="1160">
        <v>18.71</v>
      </c>
      <c r="J320" s="747" t="str">
        <f t="shared" si="5"/>
        <v>II</v>
      </c>
      <c r="K320" s="1203"/>
    </row>
    <row r="321" spans="1:11">
      <c r="A321" s="1130">
        <v>7</v>
      </c>
      <c r="B321" s="1197" t="s">
        <v>1</v>
      </c>
      <c r="C321" s="767" t="s">
        <v>1469</v>
      </c>
      <c r="D321" s="1204"/>
      <c r="E321" s="1203">
        <v>2005</v>
      </c>
      <c r="F321" s="767" t="s">
        <v>1445</v>
      </c>
      <c r="G321" s="767"/>
      <c r="I321" s="1160">
        <v>19.53</v>
      </c>
      <c r="J321" s="747" t="str">
        <f t="shared" si="5"/>
        <v>II</v>
      </c>
      <c r="K321" s="1160"/>
    </row>
    <row r="322" spans="1:11">
      <c r="A322" s="1130">
        <v>8</v>
      </c>
      <c r="B322" s="1207" t="s">
        <v>1</v>
      </c>
      <c r="C322" s="1205" t="s">
        <v>1013</v>
      </c>
      <c r="D322" s="1204"/>
      <c r="E322" s="1206">
        <v>2005</v>
      </c>
      <c r="F322" s="1205" t="s">
        <v>553</v>
      </c>
      <c r="G322" s="767"/>
      <c r="I322" s="1160">
        <v>19.53</v>
      </c>
      <c r="J322" s="747" t="str">
        <f t="shared" si="5"/>
        <v>II</v>
      </c>
      <c r="K322" s="1160"/>
    </row>
    <row r="323" spans="1:11">
      <c r="A323" s="1130">
        <v>9</v>
      </c>
      <c r="B323" s="1207" t="s">
        <v>29</v>
      </c>
      <c r="C323" s="1205" t="s">
        <v>1737</v>
      </c>
      <c r="D323" s="1204"/>
      <c r="E323" s="1206">
        <v>2003</v>
      </c>
      <c r="F323" s="1205" t="s">
        <v>1357</v>
      </c>
      <c r="G323" s="767"/>
      <c r="I323" s="1160">
        <v>19.53</v>
      </c>
      <c r="J323" s="747" t="str">
        <f t="shared" si="5"/>
        <v>II</v>
      </c>
      <c r="K323" s="1160"/>
    </row>
    <row r="324" spans="1:11">
      <c r="A324" s="1130">
        <v>10</v>
      </c>
      <c r="B324" s="1207" t="s">
        <v>1</v>
      </c>
      <c r="C324" s="1205" t="s">
        <v>1375</v>
      </c>
      <c r="D324" s="1204"/>
      <c r="E324" s="1206">
        <v>2002</v>
      </c>
      <c r="F324" s="1205" t="s">
        <v>1357</v>
      </c>
      <c r="G324" s="767"/>
      <c r="I324" s="1160">
        <v>19.649999999999999</v>
      </c>
      <c r="J324" s="747" t="str">
        <f t="shared" si="5"/>
        <v>II</v>
      </c>
      <c r="K324" s="1203"/>
    </row>
    <row r="325" spans="1:11">
      <c r="A325" s="1130">
        <v>11</v>
      </c>
      <c r="B325" s="1207" t="s">
        <v>29</v>
      </c>
      <c r="C325" s="1205" t="s">
        <v>1377</v>
      </c>
      <c r="D325" s="1204"/>
      <c r="E325" s="1206">
        <v>2002</v>
      </c>
      <c r="F325" s="1205" t="s">
        <v>1360</v>
      </c>
      <c r="G325" s="767"/>
      <c r="I325" s="1160">
        <v>20.39</v>
      </c>
      <c r="J325" s="747" t="str">
        <f t="shared" si="5"/>
        <v>III</v>
      </c>
      <c r="K325" s="1203"/>
    </row>
    <row r="326" spans="1:11">
      <c r="A326" s="1130">
        <v>12</v>
      </c>
      <c r="B326" s="1207" t="s">
        <v>13</v>
      </c>
      <c r="C326" s="1205" t="s">
        <v>1386</v>
      </c>
      <c r="D326" s="1204"/>
      <c r="E326" s="1206">
        <v>2006</v>
      </c>
      <c r="F326" s="1310" t="s">
        <v>553</v>
      </c>
      <c r="G326" s="767"/>
      <c r="I326" s="1160">
        <v>20.63</v>
      </c>
      <c r="J326" s="747" t="str">
        <f t="shared" si="5"/>
        <v>III</v>
      </c>
      <c r="K326" s="1160"/>
    </row>
    <row r="327" spans="1:11">
      <c r="A327" s="1130">
        <v>13</v>
      </c>
      <c r="B327" s="1207" t="s">
        <v>29</v>
      </c>
      <c r="C327" s="1205" t="s">
        <v>1390</v>
      </c>
      <c r="D327" s="1204"/>
      <c r="E327" s="1206">
        <v>2003</v>
      </c>
      <c r="F327" s="1205" t="s">
        <v>1344</v>
      </c>
      <c r="G327" s="767"/>
      <c r="I327" s="1162">
        <v>20.66</v>
      </c>
      <c r="J327" s="747" t="str">
        <f t="shared" si="5"/>
        <v>III</v>
      </c>
      <c r="K327" s="1160"/>
    </row>
    <row r="328" spans="1:11">
      <c r="A328" s="1130">
        <v>14</v>
      </c>
      <c r="B328" s="1207" t="s">
        <v>13</v>
      </c>
      <c r="C328" s="1205" t="s">
        <v>1521</v>
      </c>
      <c r="D328" s="1204"/>
      <c r="E328" s="1206">
        <v>2006</v>
      </c>
      <c r="F328" s="1205" t="s">
        <v>553</v>
      </c>
      <c r="G328" s="767"/>
      <c r="I328" s="1160">
        <v>21.74</v>
      </c>
      <c r="J328" s="747" t="str">
        <f t="shared" si="5"/>
        <v>III</v>
      </c>
      <c r="K328" s="1203"/>
    </row>
    <row r="329" spans="1:11">
      <c r="A329" s="1130">
        <v>15</v>
      </c>
      <c r="B329" s="1207" t="s">
        <v>13</v>
      </c>
      <c r="C329" s="1205" t="s">
        <v>1415</v>
      </c>
      <c r="D329" s="1204"/>
      <c r="E329" s="1206">
        <v>2006</v>
      </c>
      <c r="F329" s="1205" t="s">
        <v>1357</v>
      </c>
      <c r="G329" s="767"/>
      <c r="I329" s="1160">
        <v>24.7</v>
      </c>
      <c r="J329" s="747" t="str">
        <f t="shared" si="5"/>
        <v>II юн</v>
      </c>
      <c r="K329" s="1176"/>
    </row>
    <row r="330" spans="1:11">
      <c r="A330" s="1281"/>
      <c r="B330" s="1198" t="s">
        <v>29</v>
      </c>
      <c r="C330" s="1199" t="s">
        <v>1353</v>
      </c>
      <c r="D330" s="1200"/>
      <c r="E330" s="1191">
        <v>2007</v>
      </c>
      <c r="F330" s="1199" t="s">
        <v>1357</v>
      </c>
      <c r="G330" s="1199"/>
      <c r="H330" s="1326"/>
      <c r="I330" s="1214">
        <v>18.47</v>
      </c>
      <c r="J330" s="1280" t="str">
        <f t="shared" si="5"/>
        <v>I</v>
      </c>
      <c r="K330" s="1214"/>
    </row>
    <row r="331" spans="1:11">
      <c r="A331" s="1130"/>
      <c r="B331" s="535"/>
      <c r="C331" s="100"/>
      <c r="D331" s="1185"/>
      <c r="E331" s="534"/>
      <c r="F331" s="15"/>
      <c r="G331" s="1316"/>
      <c r="I331" s="1170"/>
      <c r="K331" s="1164"/>
    </row>
    <row r="332" spans="1:11">
      <c r="A332" s="57"/>
      <c r="B332" s="535"/>
      <c r="C332" s="524" t="s">
        <v>1815</v>
      </c>
      <c r="D332" s="542"/>
      <c r="E332" s="542"/>
      <c r="F332" s="542"/>
      <c r="G332" s="542"/>
      <c r="I332" s="1319"/>
      <c r="K332" s="1164"/>
    </row>
    <row r="333" spans="1:11">
      <c r="A333" s="57"/>
      <c r="B333" s="535"/>
      <c r="C333" s="524"/>
      <c r="D333" s="542"/>
      <c r="E333" s="542"/>
      <c r="F333" s="542"/>
      <c r="G333" s="542"/>
      <c r="I333" s="1319"/>
      <c r="K333" s="1164"/>
    </row>
    <row r="334" spans="1:11">
      <c r="A334" s="1130">
        <v>1</v>
      </c>
      <c r="B334" s="1207" t="s">
        <v>27</v>
      </c>
      <c r="C334" s="1517" t="s">
        <v>995</v>
      </c>
      <c r="D334" s="1517"/>
      <c r="E334" s="1206">
        <v>2005</v>
      </c>
      <c r="F334" s="1310" t="s">
        <v>1424</v>
      </c>
      <c r="G334" s="766"/>
      <c r="I334" s="1160">
        <v>22.07</v>
      </c>
      <c r="J334" s="747" t="s">
        <v>29</v>
      </c>
      <c r="K334" s="1196"/>
    </row>
    <row r="335" spans="1:11">
      <c r="A335" s="1130">
        <v>2</v>
      </c>
      <c r="B335" s="1207" t="s">
        <v>25</v>
      </c>
      <c r="C335" s="1205" t="s">
        <v>654</v>
      </c>
      <c r="D335" s="1204"/>
      <c r="E335" s="1206">
        <v>1999</v>
      </c>
      <c r="F335" s="1312" t="s">
        <v>1424</v>
      </c>
      <c r="G335" s="766"/>
      <c r="I335" s="1160">
        <v>22.15</v>
      </c>
      <c r="J335" s="747" t="s">
        <v>29</v>
      </c>
      <c r="K335" s="1203"/>
    </row>
    <row r="336" spans="1:11">
      <c r="A336" s="1130">
        <v>3</v>
      </c>
      <c r="B336" s="1207" t="s">
        <v>27</v>
      </c>
      <c r="C336" s="1205" t="s">
        <v>1413</v>
      </c>
      <c r="D336" s="1204"/>
      <c r="E336" s="1206">
        <v>1998</v>
      </c>
      <c r="F336" s="17" t="s">
        <v>1360</v>
      </c>
      <c r="G336" s="766"/>
      <c r="I336" s="1160">
        <v>23.39</v>
      </c>
      <c r="J336" s="747" t="s">
        <v>29</v>
      </c>
      <c r="K336" s="1165"/>
    </row>
    <row r="337" spans="1:11">
      <c r="A337" s="1130">
        <v>4</v>
      </c>
      <c r="B337" s="1207" t="s">
        <v>27</v>
      </c>
      <c r="C337" s="1205" t="s">
        <v>1361</v>
      </c>
      <c r="D337" s="1204"/>
      <c r="E337" s="1206">
        <v>2004</v>
      </c>
      <c r="F337" s="17" t="s">
        <v>1360</v>
      </c>
      <c r="G337" s="766"/>
      <c r="I337" s="1160">
        <v>23.58</v>
      </c>
      <c r="J337" s="747" t="s">
        <v>29</v>
      </c>
      <c r="K337" s="1196"/>
    </row>
    <row r="338" spans="1:11">
      <c r="A338" s="1130">
        <v>5</v>
      </c>
      <c r="B338" s="1207" t="s">
        <v>29</v>
      </c>
      <c r="C338" s="1205" t="s">
        <v>1493</v>
      </c>
      <c r="D338" s="1204"/>
      <c r="E338" s="1206">
        <v>2003</v>
      </c>
      <c r="F338" s="1310" t="s">
        <v>1494</v>
      </c>
      <c r="G338" s="766"/>
      <c r="I338" s="1160">
        <v>23.64</v>
      </c>
      <c r="J338" s="747" t="s">
        <v>29</v>
      </c>
      <c r="K338" s="1196"/>
    </row>
    <row r="339" spans="1:11">
      <c r="A339" s="1130">
        <v>6</v>
      </c>
      <c r="B339" s="1168" t="s">
        <v>27</v>
      </c>
      <c r="C339" s="1205" t="s">
        <v>1489</v>
      </c>
      <c r="D339" s="1204"/>
      <c r="E339" s="1206">
        <v>2005</v>
      </c>
      <c r="F339" s="1310" t="s">
        <v>553</v>
      </c>
      <c r="G339" s="766"/>
      <c r="I339" s="1160">
        <v>23.91</v>
      </c>
      <c r="J339" s="747" t="str">
        <f t="shared" ref="J339:J358" si="6">IF(ISBLANK(I339)," ",IF(ISTEXT(I339)," ",IF(I339&lt;=22.3,"МСМК",IF(I339&lt;=23.7,"МС",IF(I339&lt;=24.6,"КМС",IF(I339&lt;=26.4,"I",IF(I339&lt;=28,"II",IF(I339&lt;=30.5,"III",IF(I339&lt;=33.5,"I юн",IF(I339&lt;=36.7,"II юн",IF(I339&lt;=39.8,"III юн","б/р")))))))))))</f>
        <v>КМС</v>
      </c>
      <c r="K339" s="1165"/>
    </row>
    <row r="340" spans="1:11">
      <c r="A340" s="1130">
        <v>7</v>
      </c>
      <c r="B340" s="1207" t="s">
        <v>25</v>
      </c>
      <c r="C340" s="1205" t="s">
        <v>580</v>
      </c>
      <c r="D340" s="1204"/>
      <c r="E340" s="1206">
        <v>1998</v>
      </c>
      <c r="F340" s="17" t="s">
        <v>1360</v>
      </c>
      <c r="G340" s="766"/>
      <c r="I340" s="1160">
        <v>23.91</v>
      </c>
      <c r="J340" s="747" t="str">
        <f t="shared" si="6"/>
        <v>КМС</v>
      </c>
      <c r="K340" s="1164"/>
    </row>
    <row r="341" spans="1:11">
      <c r="A341" s="1130">
        <v>8</v>
      </c>
      <c r="B341" s="1207" t="s">
        <v>27</v>
      </c>
      <c r="C341" s="1205" t="s">
        <v>1426</v>
      </c>
      <c r="D341" s="1204"/>
      <c r="E341" s="1206">
        <v>2000</v>
      </c>
      <c r="F341" s="17" t="s">
        <v>1360</v>
      </c>
      <c r="G341" s="766"/>
      <c r="I341" s="1160">
        <v>24.16</v>
      </c>
      <c r="J341" s="747" t="str">
        <f t="shared" si="6"/>
        <v>КМС</v>
      </c>
      <c r="K341" s="1160"/>
    </row>
    <row r="342" spans="1:11">
      <c r="A342" s="1130">
        <v>9</v>
      </c>
      <c r="B342" s="1168" t="s">
        <v>29</v>
      </c>
      <c r="C342" s="1205" t="s">
        <v>1488</v>
      </c>
      <c r="D342" s="1204"/>
      <c r="E342" s="1206">
        <v>2005</v>
      </c>
      <c r="F342" s="1310" t="s">
        <v>553</v>
      </c>
      <c r="G342" s="766"/>
      <c r="I342" s="1160">
        <v>24.25</v>
      </c>
      <c r="J342" s="747" t="str">
        <f t="shared" si="6"/>
        <v>КМС</v>
      </c>
      <c r="K342" s="1164"/>
    </row>
    <row r="343" spans="1:11">
      <c r="A343" s="1130">
        <v>10</v>
      </c>
      <c r="B343" s="1168" t="s">
        <v>29</v>
      </c>
      <c r="C343" s="1205" t="s">
        <v>1404</v>
      </c>
      <c r="D343" s="1204"/>
      <c r="E343" s="1206">
        <v>2005</v>
      </c>
      <c r="F343" s="1310" t="s">
        <v>553</v>
      </c>
      <c r="G343" s="766"/>
      <c r="I343" s="1160">
        <v>24.35</v>
      </c>
      <c r="J343" s="747" t="str">
        <f t="shared" si="6"/>
        <v>КМС</v>
      </c>
      <c r="K343" s="1160"/>
    </row>
    <row r="344" spans="1:11">
      <c r="A344" s="1130">
        <v>11</v>
      </c>
      <c r="B344" s="1207" t="s">
        <v>27</v>
      </c>
      <c r="C344" s="1205" t="s">
        <v>1403</v>
      </c>
      <c r="D344" s="1204"/>
      <c r="E344" s="1206">
        <v>1998</v>
      </c>
      <c r="F344" s="1310" t="s">
        <v>1703</v>
      </c>
      <c r="G344" s="766"/>
      <c r="I344" s="1160">
        <v>24.6</v>
      </c>
      <c r="J344" s="747" t="str">
        <f t="shared" si="6"/>
        <v>КМС</v>
      </c>
      <c r="K344" s="1203"/>
    </row>
    <row r="345" spans="1:11">
      <c r="A345" s="1130">
        <v>12</v>
      </c>
      <c r="B345" s="1168" t="s">
        <v>29</v>
      </c>
      <c r="C345" s="1205" t="s">
        <v>1363</v>
      </c>
      <c r="D345" s="1204"/>
      <c r="E345" s="1206">
        <v>2005</v>
      </c>
      <c r="F345" s="1310" t="s">
        <v>553</v>
      </c>
      <c r="G345" s="766"/>
      <c r="I345" s="1160">
        <v>24.62</v>
      </c>
      <c r="J345" s="747" t="str">
        <f t="shared" si="6"/>
        <v>I</v>
      </c>
      <c r="K345" s="1196"/>
    </row>
    <row r="346" spans="1:11">
      <c r="A346" s="1130">
        <v>13</v>
      </c>
      <c r="B346" s="1207" t="s">
        <v>29</v>
      </c>
      <c r="C346" s="1205" t="s">
        <v>1414</v>
      </c>
      <c r="D346" s="1204"/>
      <c r="E346" s="1206">
        <v>2001</v>
      </c>
      <c r="F346" s="1312" t="s">
        <v>553</v>
      </c>
      <c r="G346" s="766"/>
      <c r="I346" s="1160">
        <v>24.63</v>
      </c>
      <c r="J346" s="747" t="str">
        <f t="shared" si="6"/>
        <v>I</v>
      </c>
      <c r="K346" s="1137"/>
    </row>
    <row r="347" spans="1:11">
      <c r="A347" s="1130">
        <v>14</v>
      </c>
      <c r="B347" s="1207" t="s">
        <v>29</v>
      </c>
      <c r="C347" s="1205" t="s">
        <v>1422</v>
      </c>
      <c r="D347" s="1204"/>
      <c r="E347" s="1206">
        <v>2004</v>
      </c>
      <c r="F347" s="1310" t="s">
        <v>1357</v>
      </c>
      <c r="G347" s="766"/>
      <c r="I347" s="1160">
        <v>24.94</v>
      </c>
      <c r="J347" s="747" t="str">
        <f t="shared" si="6"/>
        <v>I</v>
      </c>
      <c r="K347" s="1196"/>
    </row>
    <row r="348" spans="1:11">
      <c r="A348" s="1130">
        <v>15</v>
      </c>
      <c r="B348" s="1201" t="s">
        <v>29</v>
      </c>
      <c r="C348" s="1205" t="s">
        <v>1025</v>
      </c>
      <c r="D348" s="1204"/>
      <c r="E348" s="1206">
        <v>2006</v>
      </c>
      <c r="F348" s="766" t="s">
        <v>1445</v>
      </c>
      <c r="G348" s="766"/>
      <c r="I348" s="1160">
        <v>25.03</v>
      </c>
      <c r="J348" s="747" t="str">
        <f t="shared" si="6"/>
        <v>I</v>
      </c>
      <c r="K348" s="1196"/>
    </row>
    <row r="349" spans="1:11">
      <c r="A349" s="1130">
        <v>16</v>
      </c>
      <c r="B349" s="1207" t="s">
        <v>29</v>
      </c>
      <c r="C349" s="1205" t="s">
        <v>1362</v>
      </c>
      <c r="D349" s="1204"/>
      <c r="E349" s="1206">
        <v>2004</v>
      </c>
      <c r="F349" s="1310" t="s">
        <v>1360</v>
      </c>
      <c r="G349" s="766"/>
      <c r="I349" s="1160">
        <v>25.12</v>
      </c>
      <c r="J349" s="747" t="str">
        <f t="shared" si="6"/>
        <v>I</v>
      </c>
      <c r="K349" s="765"/>
    </row>
    <row r="350" spans="1:11">
      <c r="A350" s="1130">
        <v>17</v>
      </c>
      <c r="B350" s="1207" t="s">
        <v>1</v>
      </c>
      <c r="C350" s="1205" t="s">
        <v>1364</v>
      </c>
      <c r="D350" s="1204"/>
      <c r="E350" s="1206">
        <v>2000</v>
      </c>
      <c r="F350" s="1310" t="s">
        <v>553</v>
      </c>
      <c r="G350" s="766"/>
      <c r="I350" s="1160">
        <v>25.59</v>
      </c>
      <c r="J350" s="747" t="str">
        <f t="shared" si="6"/>
        <v>I</v>
      </c>
      <c r="K350" s="1160"/>
    </row>
    <row r="351" spans="1:11">
      <c r="A351" s="1130">
        <v>18</v>
      </c>
      <c r="B351" s="1168" t="s">
        <v>29</v>
      </c>
      <c r="C351" s="1205" t="s">
        <v>1365</v>
      </c>
      <c r="D351" s="1204"/>
      <c r="E351" s="1206">
        <v>2006</v>
      </c>
      <c r="F351" s="1310" t="s">
        <v>553</v>
      </c>
      <c r="G351" s="766"/>
      <c r="I351" s="1160">
        <v>25.61</v>
      </c>
      <c r="J351" s="747" t="str">
        <f t="shared" si="6"/>
        <v>I</v>
      </c>
      <c r="K351" s="1136"/>
    </row>
    <row r="352" spans="1:11">
      <c r="A352" s="1130">
        <v>19</v>
      </c>
      <c r="B352" s="1207" t="s">
        <v>29</v>
      </c>
      <c r="C352" s="1205" t="s">
        <v>1441</v>
      </c>
      <c r="D352" s="1204"/>
      <c r="E352" s="1206">
        <v>2003</v>
      </c>
      <c r="F352" s="1312" t="s">
        <v>1357</v>
      </c>
      <c r="G352" s="766"/>
      <c r="I352" s="1160">
        <v>25.84</v>
      </c>
      <c r="J352" s="747" t="str">
        <f t="shared" si="6"/>
        <v>I</v>
      </c>
      <c r="K352" s="1160"/>
    </row>
    <row r="353" spans="1:11">
      <c r="A353" s="1130">
        <v>20</v>
      </c>
      <c r="B353" s="1168" t="s">
        <v>29</v>
      </c>
      <c r="C353" s="1205" t="s">
        <v>1366</v>
      </c>
      <c r="D353" s="1204"/>
      <c r="E353" s="1206">
        <v>2006</v>
      </c>
      <c r="F353" s="1310" t="s">
        <v>553</v>
      </c>
      <c r="G353" s="766"/>
      <c r="I353" s="1160">
        <v>26.1</v>
      </c>
      <c r="J353" s="747" t="str">
        <f t="shared" si="6"/>
        <v>I</v>
      </c>
      <c r="K353" s="1164"/>
    </row>
    <row r="354" spans="1:11">
      <c r="A354" s="1130">
        <v>21</v>
      </c>
      <c r="B354" s="1207" t="s">
        <v>1</v>
      </c>
      <c r="C354" s="1205" t="s">
        <v>1432</v>
      </c>
      <c r="D354" s="1204"/>
      <c r="E354" s="1206">
        <v>2003</v>
      </c>
      <c r="F354" s="1310" t="s">
        <v>1826</v>
      </c>
      <c r="G354" s="766"/>
      <c r="I354" s="1160">
        <v>26.3</v>
      </c>
      <c r="J354" s="747" t="str">
        <f t="shared" si="6"/>
        <v>I</v>
      </c>
      <c r="K354" s="1137"/>
    </row>
    <row r="355" spans="1:11">
      <c r="A355" s="1130">
        <v>22</v>
      </c>
      <c r="B355" s="1207" t="s">
        <v>1</v>
      </c>
      <c r="C355" s="1205" t="s">
        <v>1491</v>
      </c>
      <c r="D355" s="1204"/>
      <c r="E355" s="1206">
        <v>2005</v>
      </c>
      <c r="F355" s="1310" t="s">
        <v>1360</v>
      </c>
      <c r="G355" s="766"/>
      <c r="I355" s="1160">
        <v>26.53</v>
      </c>
      <c r="J355" s="747" t="str">
        <f t="shared" si="6"/>
        <v>II</v>
      </c>
      <c r="K355" s="1160"/>
    </row>
    <row r="356" spans="1:11">
      <c r="A356" s="1130">
        <v>23</v>
      </c>
      <c r="B356" s="1207" t="s">
        <v>1</v>
      </c>
      <c r="C356" s="1205" t="s">
        <v>1412</v>
      </c>
      <c r="D356" s="1204"/>
      <c r="E356" s="1206">
        <v>2006</v>
      </c>
      <c r="F356" s="1310" t="s">
        <v>1372</v>
      </c>
      <c r="G356" s="766"/>
      <c r="I356" s="1160">
        <v>26.89</v>
      </c>
      <c r="J356" s="747" t="str">
        <f t="shared" si="6"/>
        <v>II</v>
      </c>
      <c r="K356" s="1170"/>
    </row>
    <row r="357" spans="1:11">
      <c r="A357" s="1130">
        <v>24</v>
      </c>
      <c r="B357" s="1168" t="s">
        <v>14</v>
      </c>
      <c r="C357" s="1205" t="s">
        <v>1490</v>
      </c>
      <c r="D357" s="1204"/>
      <c r="E357" s="1206">
        <v>2005</v>
      </c>
      <c r="F357" s="1310" t="s">
        <v>553</v>
      </c>
      <c r="G357" s="766"/>
      <c r="I357" s="1160">
        <v>28.12</v>
      </c>
      <c r="J357" s="747" t="str">
        <f t="shared" si="6"/>
        <v>III</v>
      </c>
      <c r="K357" s="1160"/>
    </row>
    <row r="358" spans="1:11">
      <c r="A358" s="1130">
        <v>25</v>
      </c>
      <c r="B358" s="1207" t="s">
        <v>13</v>
      </c>
      <c r="C358" s="1205" t="s">
        <v>1358</v>
      </c>
      <c r="D358" s="1204"/>
      <c r="E358" s="1206">
        <v>2006</v>
      </c>
      <c r="F358" s="1310" t="s">
        <v>1357</v>
      </c>
      <c r="G358" s="766"/>
      <c r="I358" s="1160">
        <v>32.369999999999997</v>
      </c>
      <c r="J358" s="747" t="str">
        <f t="shared" si="6"/>
        <v>I юн</v>
      </c>
      <c r="K358" s="1160"/>
    </row>
    <row r="359" spans="1:11">
      <c r="A359" s="1130"/>
      <c r="B359" s="1207"/>
      <c r="C359" s="1205"/>
      <c r="D359" s="1204"/>
      <c r="E359" s="1206"/>
      <c r="F359" s="1310"/>
      <c r="G359" s="766"/>
      <c r="I359" s="1160"/>
      <c r="K359" s="1160"/>
    </row>
    <row r="360" spans="1:11">
      <c r="A360" s="57"/>
      <c r="B360" s="535"/>
      <c r="C360" s="524" t="s">
        <v>1816</v>
      </c>
      <c r="D360" s="542"/>
      <c r="E360" s="542"/>
      <c r="F360" s="542"/>
      <c r="G360" s="542"/>
      <c r="I360" s="1164"/>
      <c r="K360" s="1196"/>
    </row>
    <row r="361" spans="1:11">
      <c r="A361" s="57"/>
      <c r="B361" s="535"/>
      <c r="C361" s="100"/>
      <c r="D361" s="1185"/>
      <c r="E361" s="534"/>
      <c r="F361" s="15"/>
      <c r="G361" s="536"/>
      <c r="I361" s="1164"/>
      <c r="K361" s="1137"/>
    </row>
    <row r="362" spans="1:11">
      <c r="A362" s="1130">
        <v>1</v>
      </c>
      <c r="B362" s="1168" t="s">
        <v>27</v>
      </c>
      <c r="C362" s="1205" t="s">
        <v>1522</v>
      </c>
      <c r="D362" s="1204"/>
      <c r="E362" s="1206">
        <v>1995</v>
      </c>
      <c r="F362" s="1205" t="s">
        <v>553</v>
      </c>
      <c r="G362" s="767"/>
      <c r="I362" s="1160">
        <v>19.95</v>
      </c>
      <c r="J362" s="747" t="s">
        <v>29</v>
      </c>
      <c r="K362" s="1196"/>
    </row>
    <row r="363" spans="1:11">
      <c r="A363" s="1130">
        <v>2</v>
      </c>
      <c r="B363" s="1168" t="s">
        <v>27</v>
      </c>
      <c r="C363" s="1205" t="s">
        <v>1523</v>
      </c>
      <c r="D363" s="1204"/>
      <c r="E363" s="1206">
        <v>1997</v>
      </c>
      <c r="F363" s="1205" t="s">
        <v>553</v>
      </c>
      <c r="G363" s="767"/>
      <c r="I363" s="1160">
        <v>20.46</v>
      </c>
      <c r="J363" s="747" t="s">
        <v>29</v>
      </c>
      <c r="K363" s="1160"/>
    </row>
    <row r="364" spans="1:11">
      <c r="A364" s="1130">
        <v>3</v>
      </c>
      <c r="B364" s="1207" t="s">
        <v>29</v>
      </c>
      <c r="C364" s="1205" t="s">
        <v>1379</v>
      </c>
      <c r="D364" s="1204"/>
      <c r="E364" s="1206">
        <v>2004</v>
      </c>
      <c r="F364" s="1205" t="s">
        <v>1357</v>
      </c>
      <c r="G364" s="767"/>
      <c r="I364" s="1160">
        <v>20.49</v>
      </c>
      <c r="J364" s="747" t="s">
        <v>29</v>
      </c>
      <c r="K364" s="1196"/>
    </row>
    <row r="365" spans="1:11">
      <c r="A365" s="1130">
        <v>4</v>
      </c>
      <c r="B365" s="1207" t="s">
        <v>29</v>
      </c>
      <c r="C365" s="1205" t="s">
        <v>1496</v>
      </c>
      <c r="D365" s="1204"/>
      <c r="E365" s="1206">
        <v>2001</v>
      </c>
      <c r="F365" s="1205" t="s">
        <v>1360</v>
      </c>
      <c r="G365" s="767"/>
      <c r="I365" s="1160">
        <v>20.67</v>
      </c>
      <c r="J365" s="747" t="str">
        <f t="shared" ref="J365:J397" si="7">IF(ISBLANK(I365)," ",IF(ISTEXT(I365)," ",IF(I365&lt;=19.4,"МСМК",IF(I365&lt;=20.5,"МС",IF(I365&lt;=21.3,"КМС",IF(I365&lt;=23,"I",IF(I365&lt;=24.8,"II",IF(I365&lt;=26.5,"III",IF(I365&lt;=29.8,"I юн",IF(I365&lt;=32.4,"II юн",IF(I365&lt;=35.5,"III юн","б/р")))))))))))</f>
        <v>КМС</v>
      </c>
      <c r="K365" s="1196"/>
    </row>
    <row r="366" spans="1:11">
      <c r="A366" s="1130">
        <v>5</v>
      </c>
      <c r="B366" s="1207" t="s">
        <v>29</v>
      </c>
      <c r="C366" s="1205" t="s">
        <v>1385</v>
      </c>
      <c r="D366" s="1204"/>
      <c r="E366" s="1206">
        <v>2003</v>
      </c>
      <c r="F366" s="1205" t="s">
        <v>553</v>
      </c>
      <c r="G366" s="767"/>
      <c r="I366" s="1160">
        <v>20.91</v>
      </c>
      <c r="J366" s="747" t="str">
        <f t="shared" si="7"/>
        <v>КМС</v>
      </c>
      <c r="K366" s="1196"/>
    </row>
    <row r="367" spans="1:11">
      <c r="A367" s="1130">
        <v>6</v>
      </c>
      <c r="B367" s="1158" t="s">
        <v>29</v>
      </c>
      <c r="C367" s="1154" t="s">
        <v>1510</v>
      </c>
      <c r="D367" s="1204"/>
      <c r="E367" s="1188">
        <v>2003</v>
      </c>
      <c r="F367" s="1312" t="s">
        <v>1826</v>
      </c>
      <c r="G367" s="767"/>
      <c r="I367" s="1162">
        <v>21.06</v>
      </c>
      <c r="J367" s="747" t="str">
        <f t="shared" si="7"/>
        <v>КМС</v>
      </c>
      <c r="K367" s="1160"/>
    </row>
    <row r="368" spans="1:11">
      <c r="A368" s="1130">
        <v>7</v>
      </c>
      <c r="B368" s="1207" t="s">
        <v>27</v>
      </c>
      <c r="C368" s="1205" t="s">
        <v>1425</v>
      </c>
      <c r="D368" s="1204"/>
      <c r="E368" s="1206">
        <v>1997</v>
      </c>
      <c r="F368" s="1205" t="s">
        <v>1360</v>
      </c>
      <c r="G368" s="767"/>
      <c r="I368" s="1160">
        <v>21.06</v>
      </c>
      <c r="J368" s="747" t="str">
        <f t="shared" si="7"/>
        <v>КМС</v>
      </c>
      <c r="K368" s="1131"/>
    </row>
    <row r="369" spans="1:11">
      <c r="A369" s="1130">
        <v>8</v>
      </c>
      <c r="B369" s="1207" t="s">
        <v>27</v>
      </c>
      <c r="C369" s="1205" t="s">
        <v>1532</v>
      </c>
      <c r="D369" s="1204"/>
      <c r="E369" s="1206">
        <v>1999</v>
      </c>
      <c r="F369" s="1205" t="s">
        <v>1357</v>
      </c>
      <c r="G369" s="767"/>
      <c r="I369" s="1160">
        <v>21.25</v>
      </c>
      <c r="J369" s="747" t="str">
        <f t="shared" si="7"/>
        <v>КМС</v>
      </c>
      <c r="K369" s="1196"/>
    </row>
    <row r="370" spans="1:11">
      <c r="A370" s="1130">
        <v>9</v>
      </c>
      <c r="B370" s="1207" t="s">
        <v>27</v>
      </c>
      <c r="C370" s="1205" t="s">
        <v>1501</v>
      </c>
      <c r="D370" s="1204"/>
      <c r="E370" s="1206">
        <v>1998</v>
      </c>
      <c r="F370" s="1205" t="s">
        <v>1357</v>
      </c>
      <c r="G370" s="767"/>
      <c r="I370" s="1160">
        <v>21.37</v>
      </c>
      <c r="J370" s="747" t="str">
        <f t="shared" si="7"/>
        <v>I</v>
      </c>
      <c r="K370" s="1160"/>
    </row>
    <row r="371" spans="1:11">
      <c r="A371" s="1130">
        <v>10</v>
      </c>
      <c r="B371" s="1207" t="s">
        <v>27</v>
      </c>
      <c r="C371" s="1205" t="s">
        <v>627</v>
      </c>
      <c r="D371" s="1204"/>
      <c r="E371" s="1206">
        <v>1997</v>
      </c>
      <c r="F371" s="1205" t="s">
        <v>1360</v>
      </c>
      <c r="G371" s="767"/>
      <c r="I371" s="1160">
        <v>21.43</v>
      </c>
      <c r="J371" s="747" t="str">
        <f t="shared" si="7"/>
        <v>I</v>
      </c>
      <c r="K371" s="1135"/>
    </row>
    <row r="372" spans="1:11">
      <c r="A372" s="1130">
        <v>11</v>
      </c>
      <c r="B372" s="1207" t="s">
        <v>29</v>
      </c>
      <c r="C372" s="1205" t="s">
        <v>1389</v>
      </c>
      <c r="D372" s="1204"/>
      <c r="E372" s="1206">
        <v>2001</v>
      </c>
      <c r="F372" s="1312" t="s">
        <v>1826</v>
      </c>
      <c r="G372" s="767"/>
      <c r="I372" s="1160">
        <v>21.59</v>
      </c>
      <c r="J372" s="747" t="str">
        <f t="shared" si="7"/>
        <v>I</v>
      </c>
      <c r="K372" s="1160"/>
    </row>
    <row r="373" spans="1:11">
      <c r="A373" s="1130">
        <v>12</v>
      </c>
      <c r="B373" s="1207" t="s">
        <v>1</v>
      </c>
      <c r="C373" s="1205" t="s">
        <v>1383</v>
      </c>
      <c r="D373" s="1204"/>
      <c r="E373" s="1206">
        <v>2003</v>
      </c>
      <c r="F373" s="27" t="s">
        <v>1360</v>
      </c>
      <c r="G373" s="767"/>
      <c r="I373" s="1160">
        <v>21.62</v>
      </c>
      <c r="J373" s="747" t="str">
        <f t="shared" si="7"/>
        <v>I</v>
      </c>
      <c r="K373" s="1203"/>
    </row>
    <row r="374" spans="1:11">
      <c r="A374" s="1130">
        <v>13</v>
      </c>
      <c r="B374" s="1168" t="s">
        <v>29</v>
      </c>
      <c r="C374" s="1205" t="s">
        <v>1406</v>
      </c>
      <c r="D374" s="1204"/>
      <c r="E374" s="1206">
        <v>2004</v>
      </c>
      <c r="F374" s="1205" t="s">
        <v>553</v>
      </c>
      <c r="G374" s="767"/>
      <c r="I374" s="1160">
        <v>21.8</v>
      </c>
      <c r="J374" s="747" t="str">
        <f t="shared" si="7"/>
        <v>I</v>
      </c>
      <c r="K374" s="1160"/>
    </row>
    <row r="375" spans="1:11">
      <c r="A375" s="1130">
        <v>14</v>
      </c>
      <c r="B375" s="1168" t="s">
        <v>29</v>
      </c>
      <c r="C375" s="1205" t="s">
        <v>1012</v>
      </c>
      <c r="D375" s="1204"/>
      <c r="E375" s="1206">
        <v>2006</v>
      </c>
      <c r="F375" s="1205" t="s">
        <v>553</v>
      </c>
      <c r="G375" s="767"/>
      <c r="I375" s="1160">
        <v>21.8</v>
      </c>
      <c r="J375" s="747" t="str">
        <f t="shared" si="7"/>
        <v>I</v>
      </c>
      <c r="K375" s="1203"/>
    </row>
    <row r="376" spans="1:11">
      <c r="A376" s="1130">
        <v>15</v>
      </c>
      <c r="B376" s="1207" t="s">
        <v>27</v>
      </c>
      <c r="C376" s="1205" t="s">
        <v>1417</v>
      </c>
      <c r="D376" s="1204"/>
      <c r="E376" s="1206">
        <v>2003</v>
      </c>
      <c r="F376" s="1205" t="s">
        <v>1360</v>
      </c>
      <c r="G376" s="767"/>
      <c r="I376" s="1160">
        <v>21.81</v>
      </c>
      <c r="J376" s="747" t="str">
        <f t="shared" si="7"/>
        <v>I</v>
      </c>
      <c r="K376" s="1196"/>
    </row>
    <row r="377" spans="1:11">
      <c r="A377" s="1130">
        <v>16</v>
      </c>
      <c r="B377" s="1168">
        <v>1</v>
      </c>
      <c r="C377" s="1205" t="s">
        <v>1405</v>
      </c>
      <c r="D377" s="1204"/>
      <c r="E377" s="1206">
        <v>2004</v>
      </c>
      <c r="F377" s="1205" t="s">
        <v>553</v>
      </c>
      <c r="G377" s="767"/>
      <c r="I377" s="1160">
        <v>22.03</v>
      </c>
      <c r="J377" s="747" t="str">
        <f t="shared" si="7"/>
        <v>I</v>
      </c>
      <c r="K377" s="1196"/>
    </row>
    <row r="378" spans="1:11">
      <c r="A378" s="1130">
        <v>17</v>
      </c>
      <c r="B378" s="1207" t="s">
        <v>1</v>
      </c>
      <c r="C378" s="1205" t="s">
        <v>1497</v>
      </c>
      <c r="D378" s="1204"/>
      <c r="E378" s="1206">
        <v>2002</v>
      </c>
      <c r="F378" s="1205" t="s">
        <v>1360</v>
      </c>
      <c r="G378" s="767"/>
      <c r="I378" s="1160">
        <v>22.13</v>
      </c>
      <c r="J378" s="747" t="str">
        <f t="shared" si="7"/>
        <v>I</v>
      </c>
      <c r="K378" s="765"/>
    </row>
    <row r="379" spans="1:11">
      <c r="A379" s="1130">
        <v>18</v>
      </c>
      <c r="B379" s="1207" t="s">
        <v>27</v>
      </c>
      <c r="C379" s="1205" t="s">
        <v>1388</v>
      </c>
      <c r="D379" s="1204"/>
      <c r="E379" s="1206">
        <v>2002</v>
      </c>
      <c r="F379" s="1312" t="s">
        <v>1826</v>
      </c>
      <c r="G379" s="767"/>
      <c r="I379" s="1160">
        <v>22.13</v>
      </c>
      <c r="J379" s="747" t="str">
        <f t="shared" si="7"/>
        <v>I</v>
      </c>
      <c r="K379" s="1196"/>
    </row>
    <row r="380" spans="1:11">
      <c r="A380" s="1130">
        <v>19</v>
      </c>
      <c r="B380" s="1207" t="s">
        <v>1</v>
      </c>
      <c r="C380" s="1205" t="s">
        <v>1419</v>
      </c>
      <c r="D380" s="1204"/>
      <c r="E380" s="1206">
        <v>2005</v>
      </c>
      <c r="F380" s="1205" t="s">
        <v>1445</v>
      </c>
      <c r="G380" s="767"/>
      <c r="I380" s="1160">
        <v>22.19</v>
      </c>
      <c r="J380" s="747" t="str">
        <f t="shared" si="7"/>
        <v>I</v>
      </c>
      <c r="K380" s="1135"/>
    </row>
    <row r="381" spans="1:11">
      <c r="A381" s="1130">
        <v>20</v>
      </c>
      <c r="B381" s="1207" t="s">
        <v>1</v>
      </c>
      <c r="C381" s="1205" t="s">
        <v>1410</v>
      </c>
      <c r="D381" s="1204"/>
      <c r="E381" s="1206">
        <v>2005</v>
      </c>
      <c r="F381" s="1205" t="s">
        <v>1360</v>
      </c>
      <c r="G381" s="767"/>
      <c r="I381" s="1160">
        <v>22.33</v>
      </c>
      <c r="J381" s="747" t="str">
        <f t="shared" si="7"/>
        <v>I</v>
      </c>
      <c r="K381" s="1203"/>
    </row>
    <row r="382" spans="1:11">
      <c r="A382" s="1130">
        <v>21</v>
      </c>
      <c r="B382" s="1207" t="s">
        <v>13</v>
      </c>
      <c r="C382" s="1205" t="s">
        <v>1420</v>
      </c>
      <c r="D382" s="1204"/>
      <c r="E382" s="1206">
        <v>2002</v>
      </c>
      <c r="F382" s="1205" t="s">
        <v>553</v>
      </c>
      <c r="G382" s="767"/>
      <c r="I382" s="1160">
        <v>22.39</v>
      </c>
      <c r="J382" s="747" t="str">
        <f t="shared" si="7"/>
        <v>I</v>
      </c>
      <c r="K382" s="765"/>
    </row>
    <row r="383" spans="1:11">
      <c r="A383" s="1130">
        <v>22</v>
      </c>
      <c r="B383" s="1207" t="s">
        <v>29</v>
      </c>
      <c r="C383" s="1205" t="s">
        <v>1390</v>
      </c>
      <c r="D383" s="1204"/>
      <c r="E383" s="1206">
        <v>2003</v>
      </c>
      <c r="F383" s="1312" t="s">
        <v>1826</v>
      </c>
      <c r="G383" s="767"/>
      <c r="I383" s="1162">
        <v>22.42</v>
      </c>
      <c r="J383" s="747" t="str">
        <f t="shared" si="7"/>
        <v>I</v>
      </c>
      <c r="K383" s="765"/>
    </row>
    <row r="384" spans="1:11">
      <c r="A384" s="1130">
        <v>23</v>
      </c>
      <c r="B384" s="1207" t="s">
        <v>29</v>
      </c>
      <c r="C384" s="1205" t="s">
        <v>1391</v>
      </c>
      <c r="D384" s="1204"/>
      <c r="E384" s="1206">
        <v>2003</v>
      </c>
      <c r="F384" s="1312" t="s">
        <v>1826</v>
      </c>
      <c r="G384" s="767"/>
      <c r="I384" s="1160">
        <v>22.43</v>
      </c>
      <c r="J384" s="747" t="str">
        <f t="shared" si="7"/>
        <v>I</v>
      </c>
      <c r="K384" s="1135"/>
    </row>
    <row r="385" spans="1:11">
      <c r="A385" s="1130">
        <v>24</v>
      </c>
      <c r="B385" s="1207" t="s">
        <v>1</v>
      </c>
      <c r="C385" s="1205" t="s">
        <v>1513</v>
      </c>
      <c r="D385" s="1204"/>
      <c r="E385" s="1206">
        <v>2005</v>
      </c>
      <c r="F385" s="1205" t="s">
        <v>1445</v>
      </c>
      <c r="G385" s="767"/>
      <c r="I385" s="1160">
        <v>22.54</v>
      </c>
      <c r="J385" s="747" t="str">
        <f t="shared" si="7"/>
        <v>I</v>
      </c>
      <c r="K385" s="765"/>
    </row>
    <row r="386" spans="1:11">
      <c r="A386" s="1130">
        <v>25</v>
      </c>
      <c r="B386" s="1207" t="s">
        <v>1</v>
      </c>
      <c r="C386" s="1205" t="s">
        <v>1407</v>
      </c>
      <c r="D386" s="1204"/>
      <c r="E386" s="1206">
        <v>2005</v>
      </c>
      <c r="F386" s="1205" t="s">
        <v>553</v>
      </c>
      <c r="G386" s="767"/>
      <c r="I386" s="1160">
        <v>22.55</v>
      </c>
      <c r="J386" s="747" t="str">
        <f t="shared" si="7"/>
        <v>I</v>
      </c>
      <c r="K386" s="765"/>
    </row>
    <row r="387" spans="1:11">
      <c r="A387" s="1130">
        <v>26</v>
      </c>
      <c r="B387" s="1207" t="s">
        <v>1</v>
      </c>
      <c r="C387" s="1205" t="s">
        <v>1515</v>
      </c>
      <c r="D387" s="1204" t="s">
        <v>433</v>
      </c>
      <c r="E387" s="1206">
        <v>2004</v>
      </c>
      <c r="F387" s="1205" t="s">
        <v>1445</v>
      </c>
      <c r="G387" s="767"/>
      <c r="I387" s="1163">
        <v>22.56</v>
      </c>
      <c r="J387" s="747" t="str">
        <f t="shared" si="7"/>
        <v>I</v>
      </c>
      <c r="K387" s="1203"/>
    </row>
    <row r="388" spans="1:11">
      <c r="A388" s="1130">
        <v>27</v>
      </c>
      <c r="B388" s="1207" t="s">
        <v>13</v>
      </c>
      <c r="C388" s="1205" t="s">
        <v>1418</v>
      </c>
      <c r="D388" s="1204"/>
      <c r="E388" s="1206">
        <v>2004</v>
      </c>
      <c r="F388" s="1205" t="s">
        <v>1360</v>
      </c>
      <c r="G388" s="767"/>
      <c r="I388" s="1160">
        <v>22.61</v>
      </c>
      <c r="J388" s="747" t="str">
        <f t="shared" si="7"/>
        <v>I</v>
      </c>
      <c r="K388" s="1137"/>
    </row>
    <row r="389" spans="1:11">
      <c r="A389" s="1130">
        <v>28</v>
      </c>
      <c r="B389" s="1168" t="s">
        <v>29</v>
      </c>
      <c r="C389" s="1205" t="s">
        <v>1384</v>
      </c>
      <c r="D389" s="1204"/>
      <c r="E389" s="1206">
        <v>2004</v>
      </c>
      <c r="F389" s="1205" t="s">
        <v>553</v>
      </c>
      <c r="G389" s="767"/>
      <c r="I389" s="1160">
        <v>22.66</v>
      </c>
      <c r="J389" s="747" t="str">
        <f t="shared" si="7"/>
        <v>I</v>
      </c>
      <c r="K389" s="1196"/>
    </row>
    <row r="390" spans="1:11">
      <c r="A390" s="1130">
        <v>29</v>
      </c>
      <c r="B390" s="1207" t="s">
        <v>1</v>
      </c>
      <c r="C390" s="1205" t="s">
        <v>1500</v>
      </c>
      <c r="D390" s="1204"/>
      <c r="E390" s="1206">
        <v>2003</v>
      </c>
      <c r="F390" s="1205" t="s">
        <v>1360</v>
      </c>
      <c r="G390" s="767"/>
      <c r="I390" s="1160">
        <v>22.95</v>
      </c>
      <c r="J390" s="747" t="str">
        <f t="shared" si="7"/>
        <v>I</v>
      </c>
      <c r="K390" s="1196"/>
    </row>
    <row r="391" spans="1:11">
      <c r="A391" s="1130">
        <v>30</v>
      </c>
      <c r="B391" s="1207" t="s">
        <v>1</v>
      </c>
      <c r="C391" s="1205" t="s">
        <v>1514</v>
      </c>
      <c r="D391" s="1204" t="s">
        <v>433</v>
      </c>
      <c r="E391" s="1206">
        <v>2005</v>
      </c>
      <c r="F391" s="1205" t="s">
        <v>1445</v>
      </c>
      <c r="G391" s="767"/>
      <c r="I391" s="1160">
        <v>23.16</v>
      </c>
      <c r="J391" s="747" t="str">
        <f t="shared" si="7"/>
        <v>II</v>
      </c>
      <c r="K391" s="765"/>
    </row>
    <row r="392" spans="1:11">
      <c r="A392" s="1130">
        <v>31</v>
      </c>
      <c r="B392" s="1207" t="s">
        <v>13</v>
      </c>
      <c r="C392" s="1205" t="s">
        <v>1386</v>
      </c>
      <c r="D392" s="1204"/>
      <c r="E392" s="1206">
        <v>2006</v>
      </c>
      <c r="F392" s="1205" t="s">
        <v>553</v>
      </c>
      <c r="G392" s="767"/>
      <c r="I392" s="1160">
        <v>23.4</v>
      </c>
      <c r="J392" s="747" t="str">
        <f t="shared" si="7"/>
        <v>II</v>
      </c>
      <c r="K392" s="1196"/>
    </row>
    <row r="393" spans="1:11">
      <c r="A393" s="1130">
        <v>32</v>
      </c>
      <c r="B393" s="1207" t="s">
        <v>13</v>
      </c>
      <c r="C393" s="1205" t="s">
        <v>1411</v>
      </c>
      <c r="D393" s="1204"/>
      <c r="E393" s="1206">
        <v>2005</v>
      </c>
      <c r="F393" s="1205" t="s">
        <v>1360</v>
      </c>
      <c r="G393" s="767"/>
      <c r="I393" s="1160">
        <v>23.75</v>
      </c>
      <c r="J393" s="747" t="str">
        <f t="shared" si="7"/>
        <v>II</v>
      </c>
      <c r="K393" s="1133"/>
    </row>
    <row r="394" spans="1:11">
      <c r="A394" s="1130">
        <v>33</v>
      </c>
      <c r="B394" s="1207" t="s">
        <v>29</v>
      </c>
      <c r="C394" s="1205" t="s">
        <v>1377</v>
      </c>
      <c r="D394" s="1204"/>
      <c r="E394" s="1206">
        <v>2002</v>
      </c>
      <c r="F394" s="1205" t="s">
        <v>1703</v>
      </c>
      <c r="G394" s="767"/>
      <c r="I394" s="1160">
        <v>24.24</v>
      </c>
      <c r="J394" s="747" t="str">
        <f t="shared" si="7"/>
        <v>II</v>
      </c>
      <c r="K394" s="765"/>
    </row>
    <row r="395" spans="1:11">
      <c r="A395" s="1130">
        <v>34</v>
      </c>
      <c r="B395" s="1207" t="s">
        <v>13</v>
      </c>
      <c r="C395" s="1205" t="s">
        <v>1521</v>
      </c>
      <c r="D395" s="1204"/>
      <c r="E395" s="1206">
        <v>2006</v>
      </c>
      <c r="F395" s="1205" t="s">
        <v>553</v>
      </c>
      <c r="G395" s="767"/>
      <c r="I395" s="1160">
        <v>24.54</v>
      </c>
      <c r="J395" s="747" t="str">
        <f t="shared" si="7"/>
        <v>II</v>
      </c>
      <c r="K395" s="1160"/>
    </row>
    <row r="396" spans="1:11">
      <c r="A396" s="1130">
        <v>35</v>
      </c>
      <c r="B396" s="1207" t="s">
        <v>13</v>
      </c>
      <c r="C396" s="1205" t="s">
        <v>1518</v>
      </c>
      <c r="D396" s="1204"/>
      <c r="E396" s="1206">
        <v>2005</v>
      </c>
      <c r="F396" s="1205" t="s">
        <v>1360</v>
      </c>
      <c r="G396" s="767"/>
      <c r="I396" s="1160">
        <v>25.35</v>
      </c>
      <c r="J396" s="747" t="str">
        <f t="shared" si="7"/>
        <v>III</v>
      </c>
      <c r="K396" s="765"/>
    </row>
    <row r="397" spans="1:11">
      <c r="A397" s="1130">
        <v>36</v>
      </c>
      <c r="B397" s="1207" t="s">
        <v>13</v>
      </c>
      <c r="C397" s="1205" t="s">
        <v>1415</v>
      </c>
      <c r="D397" s="1204"/>
      <c r="E397" s="1206">
        <v>2006</v>
      </c>
      <c r="F397" s="1205" t="s">
        <v>1357</v>
      </c>
      <c r="G397" s="767"/>
      <c r="I397" s="1160">
        <v>25.38</v>
      </c>
      <c r="J397" s="747" t="str">
        <f t="shared" si="7"/>
        <v>III</v>
      </c>
      <c r="K397" s="765"/>
    </row>
    <row r="398" spans="1:11">
      <c r="A398" s="1130"/>
      <c r="B398" s="1207" t="s">
        <v>13</v>
      </c>
      <c r="C398" s="1205" t="s">
        <v>1519</v>
      </c>
      <c r="D398" s="1204"/>
      <c r="E398" s="1206">
        <v>2006</v>
      </c>
      <c r="F398" s="1205" t="s">
        <v>1360</v>
      </c>
      <c r="G398" s="767"/>
      <c r="I398" s="1160" t="s">
        <v>1621</v>
      </c>
      <c r="K398" s="1160"/>
    </row>
    <row r="399" spans="1:11">
      <c r="A399" s="1130"/>
      <c r="B399" s="1321" t="s">
        <v>13</v>
      </c>
      <c r="C399" s="1205" t="s">
        <v>1739</v>
      </c>
      <c r="D399" s="1204"/>
      <c r="E399" s="1206">
        <v>2005</v>
      </c>
      <c r="F399" s="1205" t="s">
        <v>1357</v>
      </c>
      <c r="G399" s="767"/>
      <c r="I399" s="1160" t="s">
        <v>1622</v>
      </c>
      <c r="K399" s="765"/>
    </row>
    <row r="400" spans="1:11">
      <c r="A400" s="1130"/>
      <c r="B400" s="1207" t="s">
        <v>1</v>
      </c>
      <c r="C400" s="1205" t="s">
        <v>1517</v>
      </c>
      <c r="D400" s="1204"/>
      <c r="E400" s="1206">
        <v>2005</v>
      </c>
      <c r="F400" s="1205" t="s">
        <v>1360</v>
      </c>
      <c r="G400" s="767"/>
      <c r="I400" s="1160" t="s">
        <v>1622</v>
      </c>
      <c r="K400" s="1196"/>
    </row>
    <row r="401" spans="1:11">
      <c r="A401" s="1130"/>
      <c r="B401" s="1207" t="s">
        <v>29</v>
      </c>
      <c r="C401" s="1205" t="s">
        <v>1737</v>
      </c>
      <c r="D401" s="1204"/>
      <c r="E401" s="1206">
        <v>2003</v>
      </c>
      <c r="F401" s="1205" t="s">
        <v>1357</v>
      </c>
      <c r="G401" s="767"/>
      <c r="I401" s="1160" t="s">
        <v>1622</v>
      </c>
      <c r="K401" s="1196"/>
    </row>
    <row r="402" spans="1:11">
      <c r="A402" s="1130"/>
      <c r="B402" s="1168" t="s">
        <v>29</v>
      </c>
      <c r="C402" s="1205" t="s">
        <v>1507</v>
      </c>
      <c r="D402" s="1204"/>
      <c r="E402" s="1206">
        <v>2003</v>
      </c>
      <c r="F402" s="1205" t="s">
        <v>553</v>
      </c>
      <c r="G402" s="767"/>
      <c r="I402" s="1160" t="s">
        <v>1622</v>
      </c>
      <c r="K402" s="1196"/>
    </row>
    <row r="403" spans="1:11">
      <c r="A403" s="1281"/>
      <c r="B403" s="1198" t="s">
        <v>13</v>
      </c>
      <c r="C403" s="1199" t="s">
        <v>1520</v>
      </c>
      <c r="D403" s="1200"/>
      <c r="E403" s="1191">
        <v>2007</v>
      </c>
      <c r="F403" s="1199" t="s">
        <v>553</v>
      </c>
      <c r="G403" s="1199" t="s">
        <v>1471</v>
      </c>
      <c r="H403" s="1326"/>
      <c r="I403" s="1214">
        <v>23.46</v>
      </c>
      <c r="J403" s="1326"/>
      <c r="K403" s="1327"/>
    </row>
    <row r="404" spans="1:11">
      <c r="A404" s="1281"/>
      <c r="B404" s="1198" t="s">
        <v>1</v>
      </c>
      <c r="C404" s="1199" t="s">
        <v>1354</v>
      </c>
      <c r="D404" s="1200"/>
      <c r="E404" s="1191">
        <v>2007</v>
      </c>
      <c r="F404" s="1213" t="s">
        <v>1350</v>
      </c>
      <c r="G404" s="1213" t="s">
        <v>1471</v>
      </c>
      <c r="H404" s="1326"/>
      <c r="I404" s="1214">
        <v>22.38</v>
      </c>
      <c r="J404" s="1326"/>
      <c r="K404" s="1327"/>
    </row>
    <row r="405" spans="1:11">
      <c r="A405" s="1281"/>
      <c r="B405" s="1198" t="s">
        <v>29</v>
      </c>
      <c r="C405" s="1199" t="s">
        <v>1353</v>
      </c>
      <c r="D405" s="1200"/>
      <c r="E405" s="1191">
        <v>2007</v>
      </c>
      <c r="F405" s="1199" t="s">
        <v>1448</v>
      </c>
      <c r="G405" s="1199" t="s">
        <v>1471</v>
      </c>
      <c r="H405" s="1326"/>
      <c r="I405" s="1214">
        <v>20.89</v>
      </c>
      <c r="J405" s="1326"/>
      <c r="K405" s="1283"/>
    </row>
    <row r="406" spans="1:11">
      <c r="A406" s="1130"/>
      <c r="B406" s="1207"/>
      <c r="C406" s="1205"/>
      <c r="D406" s="1204"/>
      <c r="E406" s="1206"/>
      <c r="F406" s="1215"/>
      <c r="G406" s="1215"/>
      <c r="H406" s="1209"/>
      <c r="I406" s="1138"/>
    </row>
    <row r="407" spans="1:11">
      <c r="A407" s="1130"/>
      <c r="B407" s="1210"/>
      <c r="C407" s="524" t="s">
        <v>1817</v>
      </c>
      <c r="D407" s="525"/>
      <c r="E407" s="526"/>
      <c r="F407" s="524"/>
      <c r="G407" s="524"/>
      <c r="I407" s="1196"/>
      <c r="K407" s="1196"/>
    </row>
    <row r="408" spans="1:11">
      <c r="A408" s="1130"/>
      <c r="B408" s="1207"/>
      <c r="C408" s="1205"/>
      <c r="D408" s="1204"/>
      <c r="E408" s="1206"/>
      <c r="F408" s="1310"/>
      <c r="G408" s="1310"/>
      <c r="I408" s="1160"/>
      <c r="K408" s="1196"/>
    </row>
    <row r="409" spans="1:11">
      <c r="A409" s="1130">
        <v>1</v>
      </c>
      <c r="B409" s="1207" t="s">
        <v>23</v>
      </c>
      <c r="C409" s="1205" t="s">
        <v>552</v>
      </c>
      <c r="D409" s="1204"/>
      <c r="E409" s="1206">
        <v>1993</v>
      </c>
      <c r="F409" s="1205" t="s">
        <v>1360</v>
      </c>
      <c r="G409" s="766"/>
      <c r="I409" s="1159">
        <v>38.68</v>
      </c>
      <c r="J409" s="747" t="str">
        <f>IF(ISBLANK(I409)," ",IF(ISTEXT(I409)," ",IF(I409&lt;=36.3,"МСМК",IF(I409&lt;=38.1,"МС",IF(I409&lt;=39.7,"КМС",IF(I409&lt;=42.6,"I",IF(I409&lt;=46.2,"II",IF(I409&lt;=50.2,"III",IF(I409&lt;=55,"I юн",IF(I409&lt;=100,"II юн",IF(I409&lt;=105.2,"III юн","б/р")))))))))))</f>
        <v>КМС</v>
      </c>
      <c r="K409" s="1196"/>
    </row>
    <row r="410" spans="1:11">
      <c r="A410" s="1130">
        <v>2</v>
      </c>
      <c r="B410" s="1168" t="s">
        <v>29</v>
      </c>
      <c r="C410" s="1205" t="s">
        <v>1527</v>
      </c>
      <c r="D410" s="1204"/>
      <c r="E410" s="1206">
        <v>2005</v>
      </c>
      <c r="F410" s="1310" t="s">
        <v>553</v>
      </c>
      <c r="G410" s="766"/>
      <c r="I410" s="1159">
        <v>39.840000000000003</v>
      </c>
      <c r="J410" s="747" t="str">
        <f t="shared" ref="J410:J417" si="8">IF(ISBLANK(I410)," ",IF(ISTEXT(I410)," ",IF(I410&lt;=36.3,"МСМК",IF(I410&lt;=38.1,"МС",IF(I410&lt;=39.7,"КМС",IF(I410&lt;=42.6,"I",IF(I410&lt;=46.2,"II",IF(I410&lt;=50.2,"III",IF(I410&lt;=55,"I юн",IF(I410&lt;=100,"II юн",IF(I410&lt;=105.2,"III юн","б/р")))))))))))</f>
        <v>I</v>
      </c>
      <c r="K410" s="1196"/>
    </row>
    <row r="411" spans="1:11">
      <c r="A411" s="1130">
        <v>3</v>
      </c>
      <c r="B411" s="1168" t="s">
        <v>27</v>
      </c>
      <c r="C411" s="1205" t="s">
        <v>666</v>
      </c>
      <c r="D411" s="1204"/>
      <c r="E411" s="1206">
        <v>2003</v>
      </c>
      <c r="F411" s="1312" t="s">
        <v>553</v>
      </c>
      <c r="G411" s="766"/>
      <c r="I411" s="1159">
        <v>41.11</v>
      </c>
      <c r="J411" s="747" t="str">
        <f t="shared" si="8"/>
        <v>I</v>
      </c>
      <c r="K411" s="1196"/>
    </row>
    <row r="412" spans="1:11">
      <c r="A412" s="1130">
        <v>4</v>
      </c>
      <c r="B412" s="1207" t="s">
        <v>27</v>
      </c>
      <c r="C412" s="1205" t="s">
        <v>1413</v>
      </c>
      <c r="D412" s="1204"/>
      <c r="E412" s="1206">
        <v>1998</v>
      </c>
      <c r="F412" s="1205" t="s">
        <v>1360</v>
      </c>
      <c r="G412" s="766"/>
      <c r="I412" s="1159">
        <v>41.34</v>
      </c>
      <c r="J412" s="747" t="str">
        <f t="shared" si="8"/>
        <v>I</v>
      </c>
      <c r="K412" s="1196"/>
    </row>
    <row r="413" spans="1:11">
      <c r="A413" s="1130">
        <v>5</v>
      </c>
      <c r="B413" s="1168" t="s">
        <v>29</v>
      </c>
      <c r="C413" s="1205" t="s">
        <v>1014</v>
      </c>
      <c r="D413" s="1204"/>
      <c r="E413" s="1206">
        <v>2006</v>
      </c>
      <c r="F413" s="1205" t="s">
        <v>553</v>
      </c>
      <c r="G413" s="766"/>
      <c r="I413" s="1159">
        <v>42.02</v>
      </c>
      <c r="J413" s="747" t="str">
        <f t="shared" si="8"/>
        <v>I</v>
      </c>
      <c r="K413" s="1196"/>
    </row>
    <row r="414" spans="1:11">
      <c r="A414" s="1130">
        <v>6</v>
      </c>
      <c r="B414" s="1207" t="s">
        <v>27</v>
      </c>
      <c r="C414" s="1205" t="s">
        <v>668</v>
      </c>
      <c r="D414" s="1204"/>
      <c r="E414" s="1206">
        <v>2004</v>
      </c>
      <c r="F414" s="1205" t="s">
        <v>1357</v>
      </c>
      <c r="G414" s="766"/>
      <c r="I414" s="1159">
        <v>42.04</v>
      </c>
      <c r="J414" s="747" t="str">
        <f t="shared" si="8"/>
        <v>I</v>
      </c>
      <c r="K414" s="1196"/>
    </row>
    <row r="415" spans="1:11">
      <c r="A415" s="1130">
        <v>7</v>
      </c>
      <c r="B415" s="1207" t="s">
        <v>27</v>
      </c>
      <c r="C415" s="1205" t="s">
        <v>567</v>
      </c>
      <c r="D415" s="1204"/>
      <c r="E415" s="1206">
        <v>1999</v>
      </c>
      <c r="F415" s="1205" t="s">
        <v>1826</v>
      </c>
      <c r="G415" s="766"/>
      <c r="I415" s="1159">
        <v>42.16</v>
      </c>
      <c r="J415" s="747" t="str">
        <f t="shared" si="8"/>
        <v>I</v>
      </c>
      <c r="K415" s="1196"/>
    </row>
    <row r="416" spans="1:11">
      <c r="A416" s="1130">
        <v>8</v>
      </c>
      <c r="B416" s="1207" t="s">
        <v>29</v>
      </c>
      <c r="C416" s="1205" t="s">
        <v>1434</v>
      </c>
      <c r="D416" s="1204"/>
      <c r="E416" s="1206">
        <v>2003</v>
      </c>
      <c r="F416" s="1205" t="s">
        <v>1357</v>
      </c>
      <c r="G416" s="766"/>
      <c r="I416" s="1159">
        <v>42.84</v>
      </c>
      <c r="J416" s="747" t="str">
        <f t="shared" si="8"/>
        <v>II</v>
      </c>
      <c r="K416" s="1196"/>
    </row>
    <row r="417" spans="1:11">
      <c r="A417" s="1130">
        <v>9</v>
      </c>
      <c r="B417" s="1207" t="s">
        <v>27</v>
      </c>
      <c r="C417" s="1205" t="s">
        <v>595</v>
      </c>
      <c r="D417" s="1204"/>
      <c r="E417" s="1206">
        <v>2000</v>
      </c>
      <c r="F417" s="1205" t="s">
        <v>1360</v>
      </c>
      <c r="G417" s="766"/>
      <c r="I417" s="1159">
        <v>43.18</v>
      </c>
      <c r="J417" s="747" t="str">
        <f t="shared" si="8"/>
        <v>II</v>
      </c>
      <c r="K417" s="1196"/>
    </row>
    <row r="418" spans="1:11">
      <c r="A418" s="1130"/>
      <c r="B418" s="1207"/>
      <c r="C418" s="1205"/>
      <c r="D418" s="1204"/>
      <c r="E418" s="1245"/>
      <c r="F418" s="1205"/>
      <c r="G418" s="1215"/>
      <c r="H418" s="1156"/>
      <c r="I418" s="1138"/>
    </row>
    <row r="419" spans="1:11">
      <c r="A419" s="1130"/>
      <c r="B419" s="1207"/>
      <c r="C419" s="1215"/>
      <c r="D419" s="1215"/>
      <c r="E419" s="1245"/>
      <c r="F419" s="27"/>
      <c r="G419" s="1215"/>
      <c r="H419" s="1208"/>
      <c r="I419" s="1138"/>
    </row>
    <row r="420" spans="1:11">
      <c r="A420" s="1130"/>
      <c r="B420" s="1202"/>
      <c r="C420" s="524" t="s">
        <v>1818</v>
      </c>
      <c r="D420" s="525"/>
      <c r="E420" s="526"/>
      <c r="F420" s="524"/>
      <c r="G420" s="524"/>
      <c r="I420" s="1160"/>
      <c r="K420" s="1196"/>
    </row>
    <row r="421" spans="1:11">
      <c r="A421" s="1130"/>
      <c r="B421" s="1210"/>
      <c r="C421" s="1210"/>
      <c r="D421" s="1210"/>
      <c r="E421" s="1210"/>
      <c r="F421" s="1210"/>
      <c r="G421" s="1210"/>
      <c r="I421" s="1196"/>
      <c r="K421" s="1196"/>
    </row>
    <row r="422" spans="1:11">
      <c r="A422" s="1130">
        <v>1</v>
      </c>
      <c r="B422" s="1207" t="s">
        <v>29</v>
      </c>
      <c r="C422" s="1205" t="s">
        <v>1348</v>
      </c>
      <c r="D422" s="1204"/>
      <c r="E422" s="1206">
        <v>2003</v>
      </c>
      <c r="F422" s="1310" t="s">
        <v>1826</v>
      </c>
      <c r="G422" s="766"/>
      <c r="I422" s="1159">
        <v>36.35</v>
      </c>
      <c r="J422" s="747" t="str">
        <f>IF(ISBLANK(I422)," ",IF(ISTEXT(I422)," ",IF(I422&lt;=33.1,"МСМК",IF(I422&lt;=34.7,"МС",IF(I422&lt;=36.2,"КМС",IF(I422&lt;=38.8,"I",IF(I422&lt;=42.1,"II",IF(I422&lt;=45.8,"III",IF(I422&lt;=50.2,"I юн",IF(I422&lt;=54.8,"II юн",IF(I422&lt;=59.4,"III юн","б/р")))))))))))</f>
        <v>I</v>
      </c>
      <c r="K422" s="1196"/>
    </row>
    <row r="423" spans="1:11">
      <c r="A423" s="1130">
        <v>2</v>
      </c>
      <c r="B423" s="1207" t="s">
        <v>29</v>
      </c>
      <c r="C423" s="1205" t="s">
        <v>1416</v>
      </c>
      <c r="D423" s="1204"/>
      <c r="E423" s="1206">
        <v>2003</v>
      </c>
      <c r="F423" s="1310" t="s">
        <v>1360</v>
      </c>
      <c r="G423" s="766"/>
      <c r="I423" s="1159">
        <v>37.61</v>
      </c>
      <c r="J423" s="747" t="str">
        <f t="shared" ref="J423:J428" si="9">IF(ISBLANK(I423)," ",IF(ISTEXT(I423)," ",IF(I423&lt;=33.1,"МСМК",IF(I423&lt;=34.7,"МС",IF(I423&lt;=36.2,"КМС",IF(I423&lt;=38.8,"I",IF(I423&lt;=42.1,"II",IF(I423&lt;=45.8,"III",IF(I423&lt;=50.2,"I юн",IF(I423&lt;=54.8,"II юн",IF(I423&lt;=59.4,"III юн","б/р")))))))))))</f>
        <v>I</v>
      </c>
      <c r="K423" s="1196"/>
    </row>
    <row r="424" spans="1:11">
      <c r="A424" s="1130">
        <v>3</v>
      </c>
      <c r="B424" s="1158" t="s">
        <v>29</v>
      </c>
      <c r="C424" s="1205" t="s">
        <v>1387</v>
      </c>
      <c r="D424" s="1204"/>
      <c r="E424" s="1206">
        <v>2004</v>
      </c>
      <c r="F424" s="1310" t="s">
        <v>1344</v>
      </c>
      <c r="G424" s="766"/>
      <c r="I424" s="1163">
        <v>38.520000000000003</v>
      </c>
      <c r="J424" s="747" t="str">
        <f t="shared" si="9"/>
        <v>I</v>
      </c>
      <c r="K424" s="1196"/>
    </row>
    <row r="425" spans="1:11">
      <c r="A425" s="1130">
        <v>4</v>
      </c>
      <c r="B425" s="1207" t="s">
        <v>29</v>
      </c>
      <c r="C425" s="1205" t="s">
        <v>1531</v>
      </c>
      <c r="D425" s="1204"/>
      <c r="E425" s="1206">
        <v>2004</v>
      </c>
      <c r="F425" s="1310" t="s">
        <v>1357</v>
      </c>
      <c r="G425" s="766"/>
      <c r="I425" s="1159">
        <v>38.9</v>
      </c>
      <c r="J425" s="747" t="str">
        <f t="shared" si="9"/>
        <v>II</v>
      </c>
      <c r="K425" s="1196"/>
    </row>
    <row r="426" spans="1:11">
      <c r="A426" s="1130">
        <v>5</v>
      </c>
      <c r="B426" s="1168" t="s">
        <v>29</v>
      </c>
      <c r="C426" s="1205" t="s">
        <v>1406</v>
      </c>
      <c r="D426" s="1204"/>
      <c r="E426" s="1206">
        <v>2004</v>
      </c>
      <c r="F426" s="1310" t="s">
        <v>553</v>
      </c>
      <c r="G426" s="766"/>
      <c r="I426" s="1159">
        <v>40.479999999999997</v>
      </c>
      <c r="J426" s="747" t="str">
        <f t="shared" si="9"/>
        <v>II</v>
      </c>
      <c r="K426" s="1196"/>
    </row>
    <row r="427" spans="1:11">
      <c r="A427" s="1130">
        <v>6</v>
      </c>
      <c r="B427" s="1207" t="s">
        <v>1</v>
      </c>
      <c r="C427" s="1205" t="s">
        <v>1375</v>
      </c>
      <c r="D427" s="1204"/>
      <c r="E427" s="1206">
        <v>2002</v>
      </c>
      <c r="F427" s="1310" t="s">
        <v>1357</v>
      </c>
      <c r="G427" s="766"/>
      <c r="I427" s="1159">
        <v>42.6</v>
      </c>
      <c r="J427" s="747" t="str">
        <f t="shared" si="9"/>
        <v>III</v>
      </c>
      <c r="K427" s="1196"/>
    </row>
    <row r="428" spans="1:11">
      <c r="A428" s="1281"/>
      <c r="B428" s="1198" t="s">
        <v>13</v>
      </c>
      <c r="C428" s="1328" t="s">
        <v>1520</v>
      </c>
      <c r="D428" s="1328"/>
      <c r="E428" s="1322">
        <v>2007</v>
      </c>
      <c r="F428" s="1328" t="s">
        <v>553</v>
      </c>
      <c r="G428" s="1213" t="s">
        <v>1471</v>
      </c>
      <c r="H428" s="1326"/>
      <c r="I428" s="1329">
        <v>43.77</v>
      </c>
      <c r="J428" s="1280" t="str">
        <f t="shared" si="9"/>
        <v>III</v>
      </c>
      <c r="K428" s="1283"/>
    </row>
    <row r="429" spans="1:11">
      <c r="A429" s="1130"/>
      <c r="B429" s="538"/>
      <c r="C429" s="1135"/>
      <c r="D429" s="1157"/>
      <c r="E429" s="1278"/>
      <c r="F429" s="1277"/>
      <c r="G429" s="1192"/>
      <c r="H429" s="753"/>
      <c r="I429" s="1138"/>
    </row>
    <row r="430" spans="1:11">
      <c r="A430" s="1130"/>
      <c r="B430" s="1202"/>
      <c r="C430" s="524" t="s">
        <v>1819</v>
      </c>
      <c r="D430" s="525"/>
      <c r="E430" s="526"/>
      <c r="F430" s="524"/>
      <c r="G430" s="524"/>
      <c r="I430" s="1160"/>
      <c r="K430" s="1196"/>
    </row>
    <row r="431" spans="1:11" ht="14.25" customHeight="1">
      <c r="A431" s="1130"/>
      <c r="B431" s="1207"/>
      <c r="C431" s="1157"/>
      <c r="D431" s="1204"/>
      <c r="E431" s="1129"/>
      <c r="F431" s="1310"/>
      <c r="G431" s="1310"/>
      <c r="I431" s="1160"/>
      <c r="K431" s="1196"/>
    </row>
    <row r="432" spans="1:11">
      <c r="A432" s="1130">
        <v>1</v>
      </c>
      <c r="B432" s="1207" t="s">
        <v>29</v>
      </c>
      <c r="C432" s="1205" t="s">
        <v>1444</v>
      </c>
      <c r="D432" s="1204"/>
      <c r="E432" s="1206">
        <v>2006</v>
      </c>
      <c r="F432" s="1310" t="s">
        <v>1445</v>
      </c>
      <c r="G432" s="766"/>
      <c r="I432" s="1160" t="s">
        <v>1747</v>
      </c>
      <c r="J432" s="1333" t="s">
        <v>1</v>
      </c>
      <c r="K432" s="765"/>
    </row>
    <row r="433" spans="1:11">
      <c r="A433" s="1130">
        <v>2</v>
      </c>
      <c r="B433" s="1207" t="s">
        <v>25</v>
      </c>
      <c r="C433" s="1205" t="s">
        <v>554</v>
      </c>
      <c r="D433" s="1204"/>
      <c r="E433" s="1206">
        <v>1995</v>
      </c>
      <c r="F433" s="1323" t="s">
        <v>1360</v>
      </c>
      <c r="G433" s="766"/>
      <c r="I433" s="1160" t="s">
        <v>1748</v>
      </c>
      <c r="J433" s="1333" t="s">
        <v>1</v>
      </c>
      <c r="K433" s="1196"/>
    </row>
    <row r="434" spans="1:11">
      <c r="A434" s="1130">
        <v>3</v>
      </c>
      <c r="B434" s="1168" t="s">
        <v>27</v>
      </c>
      <c r="C434" s="1205" t="s">
        <v>666</v>
      </c>
      <c r="D434" s="1204"/>
      <c r="E434" s="1206">
        <v>2003</v>
      </c>
      <c r="F434" s="1310" t="s">
        <v>553</v>
      </c>
      <c r="G434" s="766"/>
      <c r="I434" s="1160" t="s">
        <v>1745</v>
      </c>
      <c r="J434" s="1333" t="s">
        <v>13</v>
      </c>
      <c r="K434" s="1196"/>
    </row>
    <row r="435" spans="1:11">
      <c r="A435" s="1130">
        <v>4</v>
      </c>
      <c r="B435" s="1207" t="s">
        <v>1</v>
      </c>
      <c r="C435" s="1205" t="s">
        <v>1435</v>
      </c>
      <c r="D435" s="1204"/>
      <c r="E435" s="1206">
        <v>2003</v>
      </c>
      <c r="F435" s="1312" t="s">
        <v>553</v>
      </c>
      <c r="G435" s="766"/>
      <c r="I435" s="1160" t="s">
        <v>1749</v>
      </c>
      <c r="J435" s="1333" t="s">
        <v>13</v>
      </c>
      <c r="K435" s="1196"/>
    </row>
    <row r="436" spans="1:11">
      <c r="A436" s="1130">
        <v>5</v>
      </c>
      <c r="B436" s="1168" t="s">
        <v>29</v>
      </c>
      <c r="C436" s="1205" t="s">
        <v>1366</v>
      </c>
      <c r="D436" s="1204"/>
      <c r="E436" s="1206">
        <v>2006</v>
      </c>
      <c r="F436" s="1310" t="s">
        <v>553</v>
      </c>
      <c r="G436" s="766"/>
      <c r="I436" s="1160" t="s">
        <v>1744</v>
      </c>
      <c r="J436" s="1333" t="s">
        <v>14</v>
      </c>
      <c r="K436" s="1196"/>
    </row>
    <row r="437" spans="1:11">
      <c r="A437" s="1130"/>
      <c r="B437" s="1207"/>
      <c r="C437" s="1167"/>
      <c r="D437" s="1155"/>
      <c r="E437" s="1194"/>
      <c r="F437" s="1195"/>
      <c r="G437" s="766"/>
      <c r="I437" s="1163"/>
      <c r="J437" s="555"/>
      <c r="K437" s="1196"/>
    </row>
    <row r="438" spans="1:11">
      <c r="A438" s="1130"/>
      <c r="B438" s="1207"/>
      <c r="C438" s="524" t="s">
        <v>1820</v>
      </c>
      <c r="D438" s="525"/>
      <c r="E438" s="526"/>
      <c r="F438" s="524"/>
      <c r="G438" s="524"/>
      <c r="I438" s="1160"/>
      <c r="J438" s="555"/>
      <c r="K438" s="1196"/>
    </row>
    <row r="439" spans="1:11">
      <c r="A439" s="1130"/>
      <c r="B439" s="1210"/>
      <c r="C439" s="1210"/>
      <c r="D439" s="1210"/>
      <c r="E439" s="1210"/>
      <c r="F439" s="1210"/>
      <c r="G439" s="1210"/>
      <c r="I439" s="1210"/>
      <c r="J439" s="555"/>
      <c r="K439" s="1196"/>
    </row>
    <row r="440" spans="1:11">
      <c r="A440" s="1130">
        <v>1</v>
      </c>
      <c r="B440" s="1201" t="s">
        <v>27</v>
      </c>
      <c r="C440" s="767" t="s">
        <v>1467</v>
      </c>
      <c r="D440" s="1204"/>
      <c r="E440" s="1203">
        <v>2004</v>
      </c>
      <c r="F440" s="17" t="s">
        <v>1445</v>
      </c>
      <c r="G440" s="767"/>
      <c r="I440" s="1160" t="s">
        <v>1757</v>
      </c>
      <c r="J440" s="1333" t="s">
        <v>29</v>
      </c>
      <c r="K440" s="1160"/>
    </row>
    <row r="441" spans="1:11">
      <c r="A441" s="1130">
        <v>2</v>
      </c>
      <c r="B441" s="1202" t="s">
        <v>29</v>
      </c>
      <c r="C441" s="767" t="s">
        <v>997</v>
      </c>
      <c r="D441" s="1204"/>
      <c r="E441" s="1203">
        <v>2006</v>
      </c>
      <c r="F441" s="767" t="s">
        <v>1344</v>
      </c>
      <c r="G441" s="767"/>
      <c r="I441" s="1160" t="s">
        <v>1756</v>
      </c>
      <c r="J441" s="1333" t="s">
        <v>1</v>
      </c>
      <c r="K441" s="1196"/>
    </row>
    <row r="442" spans="1:11">
      <c r="A442" s="1130">
        <v>3</v>
      </c>
      <c r="B442" s="1202" t="s">
        <v>29</v>
      </c>
      <c r="C442" s="767" t="s">
        <v>1010</v>
      </c>
      <c r="D442" s="1204"/>
      <c r="E442" s="1203">
        <v>2006</v>
      </c>
      <c r="F442" s="767" t="s">
        <v>553</v>
      </c>
      <c r="G442" s="767"/>
      <c r="I442" s="1160" t="s">
        <v>1758</v>
      </c>
      <c r="J442" s="1333" t="s">
        <v>1</v>
      </c>
      <c r="K442" s="1160"/>
    </row>
    <row r="443" spans="1:11">
      <c r="A443" s="1130">
        <v>4</v>
      </c>
      <c r="B443" s="1197" t="s">
        <v>29</v>
      </c>
      <c r="C443" s="767" t="s">
        <v>1531</v>
      </c>
      <c r="D443" s="1204"/>
      <c r="E443" s="1203">
        <v>2004</v>
      </c>
      <c r="F443" s="767" t="s">
        <v>1357</v>
      </c>
      <c r="G443" s="767"/>
      <c r="I443" s="1160" t="s">
        <v>1761</v>
      </c>
      <c r="J443" s="1333" t="s">
        <v>1</v>
      </c>
      <c r="K443" s="1196"/>
    </row>
    <row r="444" spans="1:11">
      <c r="A444" s="1130">
        <v>5</v>
      </c>
      <c r="B444" s="1197" t="s">
        <v>1</v>
      </c>
      <c r="C444" s="767" t="s">
        <v>1472</v>
      </c>
      <c r="D444" s="1204"/>
      <c r="E444" s="1203">
        <v>2005</v>
      </c>
      <c r="F444" s="767" t="s">
        <v>553</v>
      </c>
      <c r="G444" s="767"/>
      <c r="I444" s="1160" t="s">
        <v>1755</v>
      </c>
      <c r="J444" s="1333" t="s">
        <v>13</v>
      </c>
      <c r="K444" s="1196"/>
    </row>
    <row r="445" spans="1:11">
      <c r="A445" s="1130">
        <v>6</v>
      </c>
      <c r="B445" s="1197" t="s">
        <v>27</v>
      </c>
      <c r="C445" s="767" t="s">
        <v>1388</v>
      </c>
      <c r="D445" s="1204"/>
      <c r="E445" s="1203">
        <v>2002</v>
      </c>
      <c r="F445" s="767" t="s">
        <v>1826</v>
      </c>
      <c r="G445" s="767"/>
      <c r="I445" s="1160" t="s">
        <v>1759</v>
      </c>
      <c r="J445" s="1333" t="s">
        <v>13</v>
      </c>
      <c r="K445" s="1160"/>
    </row>
    <row r="446" spans="1:11">
      <c r="A446" s="1130">
        <v>7</v>
      </c>
      <c r="B446" s="1197" t="s">
        <v>1</v>
      </c>
      <c r="C446" s="767" t="s">
        <v>1013</v>
      </c>
      <c r="D446" s="1204"/>
      <c r="E446" s="1203">
        <v>2005</v>
      </c>
      <c r="F446" s="767" t="s">
        <v>553</v>
      </c>
      <c r="G446" s="767"/>
      <c r="I446" s="1160" t="s">
        <v>1760</v>
      </c>
      <c r="J446" s="1333" t="s">
        <v>14</v>
      </c>
      <c r="K446" s="1160"/>
    </row>
    <row r="447" spans="1:11">
      <c r="A447" s="1130">
        <v>8</v>
      </c>
      <c r="B447" s="1197" t="s">
        <v>29</v>
      </c>
      <c r="C447" s="767" t="s">
        <v>1389</v>
      </c>
      <c r="D447" s="1204"/>
      <c r="E447" s="1203">
        <v>2001</v>
      </c>
      <c r="F447" s="767" t="s">
        <v>1826</v>
      </c>
      <c r="G447" s="767"/>
      <c r="I447" s="1160" t="s">
        <v>1752</v>
      </c>
      <c r="J447" s="1333" t="s">
        <v>14</v>
      </c>
      <c r="K447" s="1196"/>
    </row>
    <row r="448" spans="1:11">
      <c r="A448" s="1130"/>
      <c r="B448" s="1198" t="s">
        <v>1</v>
      </c>
      <c r="C448" s="1199" t="s">
        <v>1354</v>
      </c>
      <c r="D448" s="1200"/>
      <c r="E448" s="1191">
        <v>2007</v>
      </c>
      <c r="F448" s="1213" t="s">
        <v>1350</v>
      </c>
      <c r="G448" s="1213" t="s">
        <v>1471</v>
      </c>
      <c r="H448" s="1326"/>
      <c r="I448" s="1214" t="s">
        <v>1754</v>
      </c>
      <c r="J448" s="1333" t="s">
        <v>1</v>
      </c>
      <c r="K448" s="1196"/>
    </row>
    <row r="449" spans="1:11">
      <c r="A449" s="1130"/>
      <c r="B449" s="1207"/>
      <c r="C449" s="1205"/>
      <c r="D449" s="1204"/>
      <c r="E449" s="1206"/>
      <c r="F449" s="1215"/>
      <c r="G449" s="1215"/>
      <c r="H449" s="1210"/>
      <c r="I449" s="1138"/>
      <c r="J449" s="1333"/>
    </row>
    <row r="450" spans="1:11">
      <c r="A450" s="1130"/>
      <c r="B450" s="1207"/>
      <c r="C450" s="524" t="s">
        <v>1821</v>
      </c>
      <c r="D450" s="542"/>
      <c r="E450" s="542"/>
      <c r="F450" s="542"/>
      <c r="G450" s="542"/>
      <c r="I450" s="1160"/>
      <c r="J450" s="1333"/>
      <c r="K450" s="1160"/>
    </row>
    <row r="451" spans="1:11">
      <c r="A451" s="1130"/>
      <c r="B451" s="1207"/>
      <c r="C451" s="1157"/>
      <c r="D451" s="1204"/>
      <c r="E451" s="1206"/>
      <c r="F451" s="1310"/>
      <c r="G451" s="1310"/>
      <c r="I451" s="1160"/>
      <c r="J451" s="1333"/>
      <c r="K451" s="1133"/>
    </row>
    <row r="452" spans="1:11">
      <c r="A452" s="1130">
        <v>1</v>
      </c>
      <c r="B452" s="1207" t="s">
        <v>27</v>
      </c>
      <c r="C452" s="1205" t="s">
        <v>1359</v>
      </c>
      <c r="D452" s="1204"/>
      <c r="E452" s="1206">
        <v>2003</v>
      </c>
      <c r="F452" s="1205" t="s">
        <v>1360</v>
      </c>
      <c r="G452" s="767"/>
      <c r="I452" s="1159" t="s">
        <v>1772</v>
      </c>
      <c r="J452" s="1333" t="s">
        <v>29</v>
      </c>
      <c r="K452" s="1160"/>
    </row>
    <row r="453" spans="1:11">
      <c r="A453" s="1130">
        <v>2</v>
      </c>
      <c r="B453" s="1207" t="s">
        <v>27</v>
      </c>
      <c r="C453" s="1517" t="s">
        <v>995</v>
      </c>
      <c r="D453" s="1517"/>
      <c r="E453" s="1206">
        <v>2005</v>
      </c>
      <c r="F453" s="1310" t="s">
        <v>1424</v>
      </c>
      <c r="G453" s="766"/>
      <c r="I453" s="1159" t="s">
        <v>1774</v>
      </c>
      <c r="J453" s="1333" t="s">
        <v>29</v>
      </c>
      <c r="K453" s="1160"/>
    </row>
    <row r="454" spans="1:11">
      <c r="A454" s="1130">
        <v>3</v>
      </c>
      <c r="B454" s="1207" t="s">
        <v>27</v>
      </c>
      <c r="C454" s="1205" t="s">
        <v>1423</v>
      </c>
      <c r="D454" s="1204"/>
      <c r="E454" s="1206">
        <v>2002</v>
      </c>
      <c r="F454" s="1205" t="s">
        <v>1357</v>
      </c>
      <c r="G454" s="767"/>
      <c r="I454" s="1159" t="s">
        <v>1775</v>
      </c>
      <c r="J454" s="1333" t="s">
        <v>29</v>
      </c>
      <c r="K454" s="1160"/>
    </row>
    <row r="455" spans="1:11">
      <c r="A455" s="1130">
        <v>4</v>
      </c>
      <c r="B455" s="1168" t="s">
        <v>29</v>
      </c>
      <c r="C455" s="1205" t="s">
        <v>1404</v>
      </c>
      <c r="D455" s="1204"/>
      <c r="E455" s="1206">
        <v>2005</v>
      </c>
      <c r="F455" s="1205" t="s">
        <v>553</v>
      </c>
      <c r="G455" s="767"/>
      <c r="I455" s="1159" t="s">
        <v>1777</v>
      </c>
      <c r="J455" s="1333" t="s">
        <v>29</v>
      </c>
      <c r="K455" s="1196"/>
    </row>
    <row r="456" spans="1:11">
      <c r="A456" s="1130">
        <v>5</v>
      </c>
      <c r="B456" s="1207" t="s">
        <v>27</v>
      </c>
      <c r="C456" s="1205" t="s">
        <v>1403</v>
      </c>
      <c r="D456" s="1204"/>
      <c r="E456" s="1206">
        <v>1998</v>
      </c>
      <c r="F456" s="1205" t="s">
        <v>1357</v>
      </c>
      <c r="G456" s="767"/>
      <c r="I456" s="1159" t="s">
        <v>1765</v>
      </c>
      <c r="J456" s="1333" t="s">
        <v>1</v>
      </c>
      <c r="K456" s="1160"/>
    </row>
    <row r="457" spans="1:11">
      <c r="A457" s="1130">
        <v>6</v>
      </c>
      <c r="B457" s="1207" t="s">
        <v>1</v>
      </c>
      <c r="C457" s="1205" t="s">
        <v>1364</v>
      </c>
      <c r="D457" s="1193"/>
      <c r="E457" s="1206">
        <v>2000</v>
      </c>
      <c r="F457" s="1205" t="s">
        <v>553</v>
      </c>
      <c r="G457" s="767"/>
      <c r="I457" s="1159" t="s">
        <v>1764</v>
      </c>
      <c r="J457" s="1333" t="s">
        <v>1</v>
      </c>
      <c r="K457" s="1160"/>
    </row>
    <row r="458" spans="1:11">
      <c r="A458" s="1130">
        <v>7</v>
      </c>
      <c r="B458" s="1168" t="s">
        <v>29</v>
      </c>
      <c r="C458" s="1205" t="s">
        <v>1363</v>
      </c>
      <c r="D458" s="1204"/>
      <c r="E458" s="1206">
        <v>2005</v>
      </c>
      <c r="F458" s="1205" t="s">
        <v>553</v>
      </c>
      <c r="G458" s="767"/>
      <c r="I458" s="1159" t="s">
        <v>1766</v>
      </c>
      <c r="J458" s="1333" t="s">
        <v>1</v>
      </c>
      <c r="K458" s="1160"/>
    </row>
    <row r="459" spans="1:11">
      <c r="A459" s="1130">
        <v>8</v>
      </c>
      <c r="B459" s="1207" t="s">
        <v>1</v>
      </c>
      <c r="C459" s="1205" t="s">
        <v>1412</v>
      </c>
      <c r="D459" s="1204"/>
      <c r="E459" s="1206">
        <v>2006</v>
      </c>
      <c r="F459" s="1205" t="s">
        <v>1372</v>
      </c>
      <c r="G459" s="767"/>
      <c r="I459" s="1159" t="s">
        <v>1767</v>
      </c>
      <c r="J459" s="1333" t="s">
        <v>13</v>
      </c>
      <c r="K459" s="1162"/>
    </row>
    <row r="460" spans="1:11">
      <c r="A460" s="1130">
        <v>9</v>
      </c>
      <c r="B460" s="1197" t="s">
        <v>1</v>
      </c>
      <c r="C460" s="767" t="s">
        <v>1432</v>
      </c>
      <c r="D460" s="1204"/>
      <c r="E460" s="1203">
        <v>2003</v>
      </c>
      <c r="F460" s="767" t="s">
        <v>1826</v>
      </c>
      <c r="G460" s="767"/>
      <c r="I460" s="1159" t="s">
        <v>1762</v>
      </c>
      <c r="J460" s="1333" t="s">
        <v>13</v>
      </c>
      <c r="K460" s="1196"/>
    </row>
    <row r="461" spans="1:11">
      <c r="A461" s="1130">
        <v>10</v>
      </c>
      <c r="B461" s="1168" t="s">
        <v>29</v>
      </c>
      <c r="C461" s="1205" t="s">
        <v>1014</v>
      </c>
      <c r="D461" s="1204"/>
      <c r="E461" s="1206">
        <v>2006</v>
      </c>
      <c r="F461" s="1205" t="s">
        <v>553</v>
      </c>
      <c r="G461" s="767"/>
      <c r="I461" s="1159" t="s">
        <v>1768</v>
      </c>
      <c r="J461" s="1333" t="s">
        <v>14</v>
      </c>
      <c r="K461" s="1196"/>
    </row>
    <row r="462" spans="1:11">
      <c r="A462" s="1130">
        <v>11</v>
      </c>
      <c r="B462" s="1197" t="s">
        <v>1</v>
      </c>
      <c r="C462" s="767" t="s">
        <v>1540</v>
      </c>
      <c r="D462" s="1204"/>
      <c r="E462" s="1203">
        <v>2002</v>
      </c>
      <c r="F462" s="766" t="s">
        <v>553</v>
      </c>
      <c r="G462" s="766"/>
      <c r="H462" s="364"/>
      <c r="I462" s="1160" t="s">
        <v>1778</v>
      </c>
      <c r="J462" s="1333" t="s">
        <v>35</v>
      </c>
      <c r="K462" s="1160"/>
    </row>
    <row r="463" spans="1:11" ht="18">
      <c r="A463" s="1130"/>
      <c r="B463" s="1207"/>
      <c r="C463" s="1210"/>
      <c r="D463" s="1210"/>
      <c r="E463" s="1129"/>
      <c r="F463" s="1210"/>
      <c r="G463" s="1215"/>
      <c r="H463" s="1210"/>
      <c r="I463" s="1138"/>
      <c r="J463" s="1333"/>
    </row>
    <row r="464" spans="1:11">
      <c r="A464" s="1130"/>
      <c r="B464" s="1132"/>
      <c r="C464" s="524" t="s">
        <v>1822</v>
      </c>
      <c r="D464" s="542"/>
      <c r="E464" s="542"/>
      <c r="F464" s="542"/>
      <c r="G464" s="542"/>
      <c r="I464" s="1133"/>
      <c r="J464" s="1333"/>
      <c r="K464" s="1160"/>
    </row>
    <row r="465" spans="1:11" ht="15" customHeight="1">
      <c r="A465" s="1130"/>
      <c r="B465" s="1197"/>
      <c r="C465" s="767"/>
      <c r="D465" s="767"/>
      <c r="E465" s="1129"/>
      <c r="F465" s="17"/>
      <c r="G465" s="766"/>
      <c r="H465" s="364"/>
      <c r="I465" s="1160"/>
      <c r="J465" s="1333"/>
      <c r="K465" s="1160"/>
    </row>
    <row r="466" spans="1:11">
      <c r="A466" s="1130">
        <v>1</v>
      </c>
      <c r="B466" s="1207" t="s">
        <v>25</v>
      </c>
      <c r="C466" s="1205" t="s">
        <v>1516</v>
      </c>
      <c r="D466" s="1204"/>
      <c r="E466" s="1206">
        <v>1997</v>
      </c>
      <c r="F466" s="1310" t="s">
        <v>1360</v>
      </c>
      <c r="G466" s="766" t="s">
        <v>1450</v>
      </c>
      <c r="I466" s="1159" t="s">
        <v>1796</v>
      </c>
      <c r="J466" s="1333" t="s">
        <v>29</v>
      </c>
      <c r="K466" s="1210"/>
    </row>
    <row r="467" spans="1:11">
      <c r="A467" s="1130">
        <v>2</v>
      </c>
      <c r="B467" s="1197" t="s">
        <v>23</v>
      </c>
      <c r="C467" s="767" t="s">
        <v>1380</v>
      </c>
      <c r="D467" s="1204"/>
      <c r="E467" s="1203">
        <v>1995</v>
      </c>
      <c r="F467" s="1312" t="s">
        <v>1360</v>
      </c>
      <c r="G467" s="766" t="s">
        <v>1449</v>
      </c>
      <c r="I467" s="1159" t="s">
        <v>1795</v>
      </c>
      <c r="J467" s="1333" t="s">
        <v>29</v>
      </c>
      <c r="K467" s="1210"/>
    </row>
    <row r="468" spans="1:11">
      <c r="A468" s="1130">
        <v>3</v>
      </c>
      <c r="B468" s="1207" t="s">
        <v>27</v>
      </c>
      <c r="C468" s="1205" t="s">
        <v>1381</v>
      </c>
      <c r="D468" s="1204"/>
      <c r="E468" s="1206">
        <v>2005</v>
      </c>
      <c r="F468" s="1310" t="s">
        <v>1360</v>
      </c>
      <c r="G468" s="766" t="s">
        <v>1450</v>
      </c>
      <c r="I468" s="1159" t="s">
        <v>1798</v>
      </c>
      <c r="J468" s="1333" t="s">
        <v>29</v>
      </c>
      <c r="K468" s="1210"/>
    </row>
    <row r="469" spans="1:11">
      <c r="A469" s="1130">
        <v>4</v>
      </c>
      <c r="B469" s="1202" t="s">
        <v>27</v>
      </c>
      <c r="C469" s="767" t="s">
        <v>1349</v>
      </c>
      <c r="D469" s="1204"/>
      <c r="E469" s="1203">
        <v>2003</v>
      </c>
      <c r="F469" s="766" t="s">
        <v>1357</v>
      </c>
      <c r="G469" s="766" t="s">
        <v>1447</v>
      </c>
      <c r="I469" s="1159" t="s">
        <v>1797</v>
      </c>
      <c r="J469" s="1333" t="s">
        <v>29</v>
      </c>
      <c r="K469" s="1210"/>
    </row>
    <row r="470" spans="1:11">
      <c r="A470" s="1130">
        <v>5</v>
      </c>
      <c r="B470" s="1197" t="s">
        <v>27</v>
      </c>
      <c r="C470" s="767" t="s">
        <v>1408</v>
      </c>
      <c r="D470" s="1204"/>
      <c r="E470" s="1203">
        <v>2001</v>
      </c>
      <c r="F470" s="1312" t="s">
        <v>1360</v>
      </c>
      <c r="G470" s="766" t="s">
        <v>1447</v>
      </c>
      <c r="I470" s="1159" t="s">
        <v>1794</v>
      </c>
      <c r="J470" s="1333" t="s">
        <v>29</v>
      </c>
      <c r="K470" s="1210"/>
    </row>
    <row r="471" spans="1:11">
      <c r="A471" s="1130">
        <v>6</v>
      </c>
      <c r="B471" s="1207" t="s">
        <v>29</v>
      </c>
      <c r="C471" s="1205" t="s">
        <v>1376</v>
      </c>
      <c r="D471" s="1204"/>
      <c r="E471" s="1206">
        <v>2006</v>
      </c>
      <c r="F471" s="1310" t="s">
        <v>1357</v>
      </c>
      <c r="G471" s="1192" t="s">
        <v>1450</v>
      </c>
      <c r="I471" s="1162" t="s">
        <v>1789</v>
      </c>
      <c r="J471" s="1333" t="s">
        <v>29</v>
      </c>
      <c r="K471" s="1160"/>
    </row>
    <row r="472" spans="1:11">
      <c r="A472" s="1130">
        <v>7</v>
      </c>
      <c r="B472" s="1168" t="s">
        <v>29</v>
      </c>
      <c r="C472" s="1205" t="s">
        <v>1384</v>
      </c>
      <c r="D472" s="1204"/>
      <c r="E472" s="1206">
        <v>2004</v>
      </c>
      <c r="F472" s="1310" t="s">
        <v>553</v>
      </c>
      <c r="G472" s="766" t="s">
        <v>1450</v>
      </c>
      <c r="I472" s="1159" t="s">
        <v>1787</v>
      </c>
      <c r="J472" s="1333" t="s">
        <v>29</v>
      </c>
      <c r="K472" s="1160"/>
    </row>
    <row r="473" spans="1:11">
      <c r="A473" s="1130">
        <v>8</v>
      </c>
      <c r="B473" s="1158" t="s">
        <v>29</v>
      </c>
      <c r="C473" s="1205" t="s">
        <v>1387</v>
      </c>
      <c r="D473" s="1204"/>
      <c r="E473" s="1206">
        <v>2004</v>
      </c>
      <c r="F473" s="1310" t="s">
        <v>1344</v>
      </c>
      <c r="G473" s="766" t="s">
        <v>1450</v>
      </c>
      <c r="I473" s="1162" t="s">
        <v>1788</v>
      </c>
      <c r="J473" s="1333" t="s">
        <v>29</v>
      </c>
      <c r="K473" s="1160"/>
    </row>
    <row r="474" spans="1:11">
      <c r="A474" s="1130">
        <v>9</v>
      </c>
      <c r="B474" s="1168" t="s">
        <v>27</v>
      </c>
      <c r="C474" s="1205" t="s">
        <v>1523</v>
      </c>
      <c r="D474" s="1204"/>
      <c r="E474" s="1206">
        <v>1997</v>
      </c>
      <c r="F474" s="1310" t="s">
        <v>553</v>
      </c>
      <c r="G474" s="766" t="s">
        <v>1450</v>
      </c>
      <c r="I474" s="1159" t="s">
        <v>1800</v>
      </c>
      <c r="J474" s="1333" t="s">
        <v>29</v>
      </c>
      <c r="K474" s="1135"/>
    </row>
    <row r="475" spans="1:11">
      <c r="A475" s="1130">
        <v>10</v>
      </c>
      <c r="B475" s="1197" t="s">
        <v>27</v>
      </c>
      <c r="C475" s="767" t="s">
        <v>1374</v>
      </c>
      <c r="D475" s="1204"/>
      <c r="E475" s="1203">
        <v>2003</v>
      </c>
      <c r="F475" s="766" t="s">
        <v>1357</v>
      </c>
      <c r="G475" s="766" t="s">
        <v>1447</v>
      </c>
      <c r="I475" s="1159" t="s">
        <v>1793</v>
      </c>
      <c r="J475" s="1333" t="s">
        <v>29</v>
      </c>
      <c r="K475" s="1210"/>
    </row>
    <row r="476" spans="1:11">
      <c r="A476" s="1130">
        <v>11</v>
      </c>
      <c r="B476" s="1136" t="s">
        <v>27</v>
      </c>
      <c r="C476" s="1131" t="s">
        <v>1417</v>
      </c>
      <c r="D476" s="1131"/>
      <c r="E476" s="1136">
        <v>2003</v>
      </c>
      <c r="F476" s="1312" t="s">
        <v>1360</v>
      </c>
      <c r="G476" s="766" t="s">
        <v>1447</v>
      </c>
      <c r="H476" s="1131"/>
      <c r="I476" s="1159" t="s">
        <v>1792</v>
      </c>
      <c r="J476" s="1333" t="s">
        <v>1</v>
      </c>
      <c r="K476" s="1210"/>
    </row>
    <row r="477" spans="1:11">
      <c r="A477" s="1130">
        <v>12</v>
      </c>
      <c r="B477" s="1197" t="s">
        <v>13</v>
      </c>
      <c r="C477" s="767" t="s">
        <v>1420</v>
      </c>
      <c r="D477" s="1204"/>
      <c r="E477" s="1203">
        <v>2002</v>
      </c>
      <c r="F477" s="766" t="s">
        <v>553</v>
      </c>
      <c r="G477" s="766" t="s">
        <v>1447</v>
      </c>
      <c r="H477" s="1131"/>
      <c r="I477" s="1159" t="s">
        <v>1791</v>
      </c>
      <c r="J477" s="1333" t="s">
        <v>1</v>
      </c>
      <c r="K477" s="1196"/>
    </row>
    <row r="478" spans="1:11">
      <c r="A478" s="1130">
        <v>13</v>
      </c>
      <c r="B478" s="1207" t="s">
        <v>29</v>
      </c>
      <c r="C478" s="1157" t="s">
        <v>1382</v>
      </c>
      <c r="D478" s="1204"/>
      <c r="E478" s="1206">
        <v>2005</v>
      </c>
      <c r="F478" s="1310" t="s">
        <v>1360</v>
      </c>
      <c r="G478" s="766" t="s">
        <v>1450</v>
      </c>
      <c r="I478" s="1159" t="s">
        <v>1785</v>
      </c>
      <c r="J478" s="1333" t="s">
        <v>1</v>
      </c>
      <c r="K478" s="1196"/>
    </row>
    <row r="479" spans="1:11">
      <c r="A479" s="1130">
        <v>14</v>
      </c>
      <c r="B479" s="1197" t="s">
        <v>1</v>
      </c>
      <c r="C479" s="767" t="s">
        <v>1419</v>
      </c>
      <c r="D479" s="1204"/>
      <c r="E479" s="1203">
        <v>2005</v>
      </c>
      <c r="F479" s="766" t="s">
        <v>1445</v>
      </c>
      <c r="G479" s="766" t="s">
        <v>1450</v>
      </c>
      <c r="I479" s="1159" t="s">
        <v>1780</v>
      </c>
      <c r="J479" s="1333" t="s">
        <v>1</v>
      </c>
      <c r="K479" s="1196"/>
    </row>
    <row r="480" spans="1:11">
      <c r="A480" s="1130">
        <v>15</v>
      </c>
      <c r="B480" s="1197" t="s">
        <v>1</v>
      </c>
      <c r="C480" s="767" t="s">
        <v>1514</v>
      </c>
      <c r="D480" s="1204" t="s">
        <v>433</v>
      </c>
      <c r="E480" s="1203">
        <v>2005</v>
      </c>
      <c r="F480" s="766" t="s">
        <v>1445</v>
      </c>
      <c r="G480" s="766" t="s">
        <v>1450</v>
      </c>
      <c r="I480" s="1159" t="s">
        <v>1786</v>
      </c>
      <c r="J480" s="1333" t="s">
        <v>1</v>
      </c>
      <c r="K480" s="1196"/>
    </row>
    <row r="481" spans="1:11">
      <c r="A481" s="1130">
        <v>16</v>
      </c>
      <c r="B481" s="1202" t="s">
        <v>1</v>
      </c>
      <c r="C481" s="1205" t="s">
        <v>1407</v>
      </c>
      <c r="D481" s="1204"/>
      <c r="E481" s="1206">
        <v>2005</v>
      </c>
      <c r="F481" s="1310" t="s">
        <v>553</v>
      </c>
      <c r="G481" s="766" t="s">
        <v>1450</v>
      </c>
      <c r="I481" s="1159" t="s">
        <v>1784</v>
      </c>
      <c r="J481" s="1333" t="s">
        <v>1</v>
      </c>
      <c r="K481" s="1162"/>
    </row>
    <row r="482" spans="1:11">
      <c r="A482" s="1130">
        <v>17</v>
      </c>
      <c r="B482" s="1197" t="s">
        <v>1</v>
      </c>
      <c r="C482" s="1205" t="s">
        <v>1405</v>
      </c>
      <c r="D482" s="1204"/>
      <c r="E482" s="1206">
        <v>2004</v>
      </c>
      <c r="F482" s="1310" t="s">
        <v>553</v>
      </c>
      <c r="G482" s="766" t="s">
        <v>1450</v>
      </c>
      <c r="I482" s="1159" t="s">
        <v>1782</v>
      </c>
      <c r="J482" s="1333" t="s">
        <v>1</v>
      </c>
      <c r="K482" s="1160"/>
    </row>
    <row r="483" spans="1:11">
      <c r="A483" s="1130">
        <v>18</v>
      </c>
      <c r="B483" s="1197" t="s">
        <v>29</v>
      </c>
      <c r="C483" s="767" t="s">
        <v>1378</v>
      </c>
      <c r="D483" s="1204"/>
      <c r="E483" s="1203">
        <v>2002</v>
      </c>
      <c r="F483" s="766" t="s">
        <v>1357</v>
      </c>
      <c r="G483" s="766" t="s">
        <v>1447</v>
      </c>
      <c r="H483" s="1131"/>
      <c r="I483" s="1159" t="s">
        <v>1790</v>
      </c>
      <c r="J483" s="1333" t="s">
        <v>13</v>
      </c>
      <c r="K483" s="1196"/>
    </row>
    <row r="484" spans="1:11">
      <c r="A484" s="1130">
        <v>19</v>
      </c>
      <c r="B484" s="1207" t="s">
        <v>29</v>
      </c>
      <c r="C484" s="1205" t="s">
        <v>1379</v>
      </c>
      <c r="D484" s="1204"/>
      <c r="E484" s="1206">
        <v>2004</v>
      </c>
      <c r="F484" s="1310" t="s">
        <v>1357</v>
      </c>
      <c r="G484" s="766" t="s">
        <v>1450</v>
      </c>
      <c r="I484" s="1159" t="s">
        <v>1783</v>
      </c>
      <c r="J484" s="1333" t="s">
        <v>13</v>
      </c>
      <c r="K484" s="1210"/>
    </row>
    <row r="485" spans="1:11">
      <c r="A485" s="1130">
        <v>20</v>
      </c>
      <c r="B485" s="1197" t="s">
        <v>29</v>
      </c>
      <c r="C485" s="766" t="s">
        <v>1510</v>
      </c>
      <c r="D485" s="1204"/>
      <c r="E485" s="1203">
        <v>2003</v>
      </c>
      <c r="F485" s="766" t="s">
        <v>1826</v>
      </c>
      <c r="G485" s="766" t="s">
        <v>1449</v>
      </c>
      <c r="I485" s="1160" t="s">
        <v>1781</v>
      </c>
      <c r="J485" s="1333" t="s">
        <v>13</v>
      </c>
      <c r="K485" s="1203"/>
    </row>
    <row r="486" spans="1:11">
      <c r="A486" s="1130">
        <v>21</v>
      </c>
      <c r="B486" s="1197" t="s">
        <v>1</v>
      </c>
      <c r="C486" s="767" t="s">
        <v>1515</v>
      </c>
      <c r="D486" s="1204" t="s">
        <v>433</v>
      </c>
      <c r="E486" s="1203">
        <v>2004</v>
      </c>
      <c r="F486" s="766" t="s">
        <v>1445</v>
      </c>
      <c r="G486" s="766" t="s">
        <v>1450</v>
      </c>
      <c r="I486" s="1159" t="s">
        <v>1779</v>
      </c>
      <c r="J486" s="1333" t="s">
        <v>14</v>
      </c>
      <c r="K486" s="1160"/>
    </row>
    <row r="494" spans="1:11">
      <c r="A494" s="1130"/>
      <c r="B494" s="1207"/>
      <c r="C494" s="1428" t="s">
        <v>1823</v>
      </c>
      <c r="D494" s="1429"/>
      <c r="E494" s="1430"/>
      <c r="F494" s="1431"/>
      <c r="G494" s="1310"/>
      <c r="I494" s="1209"/>
      <c r="K494" s="1135"/>
    </row>
    <row r="495" spans="1:11">
      <c r="A495" s="1389"/>
      <c r="B495" s="1207"/>
      <c r="C495" s="1390"/>
      <c r="D495" s="1359"/>
      <c r="E495" s="1358"/>
      <c r="F495" s="1391"/>
      <c r="G495" s="1312"/>
      <c r="H495" s="1196"/>
      <c r="I495" s="1160"/>
      <c r="J495" s="1196"/>
      <c r="K495" s="1135"/>
    </row>
    <row r="496" spans="1:11">
      <c r="A496" s="1392">
        <v>1</v>
      </c>
      <c r="B496" s="1369"/>
      <c r="C496" s="1336"/>
      <c r="D496" s="1337"/>
      <c r="E496" s="1338"/>
      <c r="F496" s="1368" t="s">
        <v>1360</v>
      </c>
      <c r="G496" s="1371"/>
      <c r="H496" s="1393"/>
      <c r="I496" s="1340" t="s">
        <v>1801</v>
      </c>
      <c r="J496" s="1393"/>
      <c r="K496" s="1394"/>
    </row>
    <row r="497" spans="1:11">
      <c r="A497" s="1389"/>
      <c r="B497" s="1207" t="s">
        <v>27</v>
      </c>
      <c r="C497" s="1205" t="s">
        <v>1413</v>
      </c>
      <c r="D497" s="1204"/>
      <c r="E497" s="1206">
        <v>1998</v>
      </c>
      <c r="F497" s="1207"/>
      <c r="G497" s="1312"/>
      <c r="H497" s="1196"/>
      <c r="I497" s="1160" t="s">
        <v>1802</v>
      </c>
      <c r="J497" s="1395" t="s">
        <v>1</v>
      </c>
      <c r="K497" s="1136"/>
    </row>
    <row r="498" spans="1:11">
      <c r="A498" s="1389"/>
      <c r="B498" s="1207" t="s">
        <v>25</v>
      </c>
      <c r="C498" s="1205" t="s">
        <v>554</v>
      </c>
      <c r="D498" s="1204"/>
      <c r="E498" s="1206">
        <v>1995</v>
      </c>
      <c r="F498" s="1207"/>
      <c r="G498" s="1312"/>
      <c r="H498" s="1196"/>
      <c r="I498" s="1160"/>
      <c r="J498" s="1196"/>
      <c r="K498" s="1136"/>
    </row>
    <row r="499" spans="1:11">
      <c r="A499" s="1389"/>
      <c r="B499" s="1207" t="s">
        <v>27</v>
      </c>
      <c r="C499" s="1205" t="s">
        <v>1359</v>
      </c>
      <c r="D499" s="1204"/>
      <c r="E499" s="1206">
        <v>2003</v>
      </c>
      <c r="F499" s="1207"/>
      <c r="G499" s="1312"/>
      <c r="H499" s="1196"/>
      <c r="I499" s="1160"/>
      <c r="J499" s="1196"/>
      <c r="K499" s="1136"/>
    </row>
    <row r="500" spans="1:11">
      <c r="A500" s="1389"/>
      <c r="B500" s="1136" t="s">
        <v>23</v>
      </c>
      <c r="C500" s="1131" t="s">
        <v>552</v>
      </c>
      <c r="D500" s="1131"/>
      <c r="E500" s="1136">
        <v>1993</v>
      </c>
      <c r="F500" s="1136"/>
      <c r="G500" s="1131"/>
      <c r="H500" s="1196"/>
      <c r="I500" s="1136"/>
      <c r="J500" s="1196"/>
      <c r="K500" s="1136"/>
    </row>
    <row r="501" spans="1:11">
      <c r="A501" s="1389"/>
      <c r="B501" s="1136"/>
      <c r="C501" s="41"/>
      <c r="D501" s="1131"/>
      <c r="E501" s="1136"/>
      <c r="F501" s="1136"/>
      <c r="G501" s="1131"/>
      <c r="H501" s="1196"/>
      <c r="I501" s="1132"/>
      <c r="J501" s="1196"/>
      <c r="K501" s="1136"/>
    </row>
    <row r="502" spans="1:11">
      <c r="A502" s="1394">
        <v>2</v>
      </c>
      <c r="B502" s="1394"/>
      <c r="C502" s="1343"/>
      <c r="D502" s="1343"/>
      <c r="E502" s="1394"/>
      <c r="F502" s="1396" t="s">
        <v>553</v>
      </c>
      <c r="G502" s="1343"/>
      <c r="H502" s="1393"/>
      <c r="I502" s="1394" t="s">
        <v>1803</v>
      </c>
      <c r="J502" s="1393"/>
      <c r="K502" s="1373"/>
    </row>
    <row r="503" spans="1:11">
      <c r="A503" s="1136"/>
      <c r="B503" s="1136" t="s">
        <v>27</v>
      </c>
      <c r="C503" s="1131" t="s">
        <v>666</v>
      </c>
      <c r="D503" s="1131"/>
      <c r="E503" s="1206">
        <v>2003</v>
      </c>
      <c r="F503" s="1136"/>
      <c r="G503" s="1131"/>
      <c r="H503" s="1196"/>
      <c r="I503" s="1136">
        <v>45.22</v>
      </c>
      <c r="J503" s="1395" t="s">
        <v>1</v>
      </c>
      <c r="K503" s="1132"/>
    </row>
    <row r="504" spans="1:11">
      <c r="A504" s="1136"/>
      <c r="B504" s="1207" t="s">
        <v>29</v>
      </c>
      <c r="C504" s="1205" t="s">
        <v>1527</v>
      </c>
      <c r="D504" s="1204"/>
      <c r="E504" s="1206">
        <v>2005</v>
      </c>
      <c r="F504" s="1207"/>
      <c r="G504" s="1312"/>
      <c r="H504" s="1196"/>
      <c r="I504" s="1159"/>
      <c r="J504" s="1196"/>
      <c r="K504" s="1136"/>
    </row>
    <row r="505" spans="1:11">
      <c r="A505" s="1389"/>
      <c r="B505" s="1207" t="s">
        <v>27</v>
      </c>
      <c r="C505" s="1312" t="s">
        <v>1489</v>
      </c>
      <c r="D505" s="1312"/>
      <c r="E505" s="1206">
        <v>2005</v>
      </c>
      <c r="F505" s="1397"/>
      <c r="G505" s="1312"/>
      <c r="H505" s="1196"/>
      <c r="I505" s="1162"/>
      <c r="J505" s="1196"/>
      <c r="K505" s="1136"/>
    </row>
    <row r="506" spans="1:11">
      <c r="A506" s="1389"/>
      <c r="B506" s="1207" t="s">
        <v>29</v>
      </c>
      <c r="C506" s="1205" t="s">
        <v>1014</v>
      </c>
      <c r="D506" s="1204"/>
      <c r="E506" s="1206">
        <v>2006</v>
      </c>
      <c r="F506" s="1207"/>
      <c r="G506" s="1312"/>
      <c r="H506" s="1196"/>
      <c r="I506" s="1159"/>
      <c r="J506" s="1196"/>
      <c r="K506" s="1136"/>
    </row>
    <row r="507" spans="1:11">
      <c r="A507" s="1389"/>
      <c r="B507" s="1207"/>
      <c r="C507" s="1205"/>
      <c r="D507" s="1204"/>
      <c r="E507" s="1206"/>
      <c r="F507" s="1207"/>
      <c r="G507" s="1312"/>
      <c r="H507" s="1196"/>
      <c r="I507" s="1159"/>
      <c r="J507" s="1196"/>
      <c r="K507" s="1136"/>
    </row>
    <row r="508" spans="1:11">
      <c r="A508" s="1392">
        <v>3</v>
      </c>
      <c r="B508" s="1369"/>
      <c r="C508" s="1336"/>
      <c r="D508" s="1337"/>
      <c r="E508" s="1338"/>
      <c r="F508" s="1368" t="s">
        <v>1703</v>
      </c>
      <c r="G508" s="1371"/>
      <c r="H508" s="1393"/>
      <c r="I508" s="1340" t="s">
        <v>1804</v>
      </c>
      <c r="J508" s="1393"/>
      <c r="K508" s="1394"/>
    </row>
    <row r="509" spans="1:11">
      <c r="A509" s="1389"/>
      <c r="B509" s="1158" t="s">
        <v>27</v>
      </c>
      <c r="C509" s="1154" t="s">
        <v>1423</v>
      </c>
      <c r="D509" s="1312"/>
      <c r="E509" s="1206">
        <v>2002</v>
      </c>
      <c r="F509" s="1397"/>
      <c r="G509" s="1312"/>
      <c r="H509" s="1196"/>
      <c r="I509" s="1162">
        <v>45.37</v>
      </c>
      <c r="J509" s="1395" t="s">
        <v>1</v>
      </c>
      <c r="K509" s="1136"/>
    </row>
    <row r="510" spans="1:11">
      <c r="A510" s="1389"/>
      <c r="B510" s="1136" t="s">
        <v>27</v>
      </c>
      <c r="C510" s="1131" t="s">
        <v>668</v>
      </c>
      <c r="D510" s="1131"/>
      <c r="E510" s="1136">
        <v>2004</v>
      </c>
      <c r="F510" s="1136"/>
      <c r="G510" s="1131"/>
      <c r="H510" s="1196"/>
      <c r="I510" s="1136"/>
      <c r="J510" s="1131"/>
      <c r="K510" s="1132"/>
    </row>
    <row r="511" spans="1:11">
      <c r="A511" s="1389"/>
      <c r="B511" s="1136" t="s">
        <v>29</v>
      </c>
      <c r="C511" s="1131" t="s">
        <v>1441</v>
      </c>
      <c r="D511" s="1131"/>
      <c r="E511" s="1136">
        <v>2003</v>
      </c>
      <c r="F511" s="1136"/>
      <c r="G511" s="1131"/>
      <c r="H511" s="1196"/>
      <c r="I511" s="1136"/>
      <c r="J511" s="1131"/>
      <c r="K511" s="1132"/>
    </row>
    <row r="512" spans="1:11">
      <c r="A512" s="1136"/>
      <c r="B512" s="1202" t="s">
        <v>29</v>
      </c>
      <c r="C512" s="1205" t="s">
        <v>1409</v>
      </c>
      <c r="D512" s="1204"/>
      <c r="E512" s="1206">
        <v>2003</v>
      </c>
      <c r="F512" s="1207"/>
      <c r="G512" s="23"/>
      <c r="H512" s="1196"/>
      <c r="I512" s="1160"/>
      <c r="J512" s="1131"/>
      <c r="K512" s="1132"/>
    </row>
    <row r="513" spans="1:11">
      <c r="A513" s="1389"/>
      <c r="B513" s="1207"/>
      <c r="C513" s="1398"/>
      <c r="D513" s="1399"/>
      <c r="E513" s="1400"/>
      <c r="F513" s="1401"/>
      <c r="G513" s="1312"/>
      <c r="H513" s="1196"/>
      <c r="I513" s="1160"/>
      <c r="J513" s="1131"/>
      <c r="K513" s="1135"/>
    </row>
    <row r="514" spans="1:11">
      <c r="A514" s="1402"/>
      <c r="B514" s="1403"/>
      <c r="C514" s="1404"/>
      <c r="D514" s="1405"/>
      <c r="E514" s="1406"/>
      <c r="F514" s="1407" t="s">
        <v>1445</v>
      </c>
      <c r="G514" s="1408"/>
      <c r="H514" s="1409"/>
      <c r="I514" s="1410" t="s">
        <v>1805</v>
      </c>
      <c r="J514" s="1411"/>
      <c r="K514" s="1412" t="s">
        <v>1471</v>
      </c>
    </row>
    <row r="515" spans="1:11">
      <c r="A515" s="1389"/>
      <c r="B515" s="1197" t="s">
        <v>27</v>
      </c>
      <c r="C515" s="767" t="s">
        <v>1741</v>
      </c>
      <c r="D515" s="1204"/>
      <c r="E515" s="1203">
        <v>2003</v>
      </c>
      <c r="F515" s="1197"/>
      <c r="G515" s="766"/>
      <c r="H515" s="1413"/>
      <c r="I515" s="1414">
        <v>43.02</v>
      </c>
      <c r="J515" s="1415" t="s">
        <v>29</v>
      </c>
      <c r="K515" s="1416"/>
    </row>
    <row r="516" spans="1:11">
      <c r="A516" s="1389"/>
      <c r="B516" s="1417" t="s">
        <v>29</v>
      </c>
      <c r="C516" s="1418" t="s">
        <v>1025</v>
      </c>
      <c r="D516" s="1418"/>
      <c r="E516" s="1417">
        <v>2006</v>
      </c>
      <c r="F516" s="1417"/>
      <c r="G516" s="1418"/>
      <c r="H516" s="1413"/>
      <c r="I516" s="1413"/>
      <c r="J516" s="1413"/>
      <c r="K516" s="1419"/>
    </row>
    <row r="517" spans="1:11">
      <c r="A517" s="1389"/>
      <c r="B517" s="1416" t="s">
        <v>29</v>
      </c>
      <c r="C517" s="1419" t="s">
        <v>1444</v>
      </c>
      <c r="D517" s="1419"/>
      <c r="E517" s="1417">
        <v>2006</v>
      </c>
      <c r="F517" s="1416"/>
      <c r="G517" s="1419"/>
      <c r="H517" s="1413"/>
      <c r="I517" s="1419"/>
      <c r="J517" s="1413"/>
      <c r="K517" s="1418"/>
    </row>
    <row r="518" spans="1:11">
      <c r="A518" s="1419"/>
      <c r="B518" s="1416" t="s">
        <v>27</v>
      </c>
      <c r="C518" s="1419" t="s">
        <v>595</v>
      </c>
      <c r="D518" s="1419"/>
      <c r="E518" s="1416">
        <v>2000</v>
      </c>
      <c r="F518" s="1416"/>
      <c r="G518" s="1419"/>
      <c r="H518" s="1413"/>
      <c r="I518" s="1419"/>
      <c r="J518" s="1413"/>
      <c r="K518" s="1418"/>
    </row>
    <row r="519" spans="1:11">
      <c r="A519" s="1131"/>
      <c r="B519" s="1136"/>
      <c r="C519" s="1131"/>
      <c r="D519" s="1131"/>
      <c r="E519" s="1131"/>
      <c r="F519" s="1136"/>
      <c r="G519" s="1131"/>
      <c r="H519" s="1196"/>
      <c r="I519" s="1131"/>
      <c r="J519" s="1196"/>
      <c r="K519" s="1131"/>
    </row>
    <row r="520" spans="1:11">
      <c r="A520" s="1402"/>
      <c r="B520" s="1411"/>
      <c r="C520" s="1411"/>
      <c r="D520" s="1411"/>
      <c r="E520" s="1411"/>
      <c r="F520" s="1420" t="s">
        <v>1702</v>
      </c>
      <c r="G520" s="1411"/>
      <c r="H520" s="1409"/>
      <c r="I520" s="1412" t="s">
        <v>1806</v>
      </c>
      <c r="J520" s="1411"/>
      <c r="K520" s="1412" t="s">
        <v>1471</v>
      </c>
    </row>
    <row r="521" spans="1:11">
      <c r="A521" s="1416"/>
      <c r="B521" s="1416" t="s">
        <v>27</v>
      </c>
      <c r="C521" s="1419" t="s">
        <v>567</v>
      </c>
      <c r="D521" s="1419"/>
      <c r="E521" s="1203">
        <v>1999</v>
      </c>
      <c r="F521" s="1416"/>
      <c r="G521" s="1419"/>
      <c r="H521" s="1413"/>
      <c r="I521" s="1416">
        <v>44.14</v>
      </c>
      <c r="J521" s="1415" t="s">
        <v>1</v>
      </c>
      <c r="K521" s="1416"/>
    </row>
    <row r="522" spans="1:11">
      <c r="A522" s="1416"/>
      <c r="B522" s="1202" t="s">
        <v>1</v>
      </c>
      <c r="C522" s="767" t="s">
        <v>1432</v>
      </c>
      <c r="D522" s="767"/>
      <c r="E522" s="1203">
        <v>2003</v>
      </c>
      <c r="F522" s="1202"/>
      <c r="G522" s="766"/>
      <c r="H522" s="1413"/>
      <c r="I522" s="1160"/>
      <c r="J522" s="1419"/>
      <c r="K522" s="1416"/>
    </row>
    <row r="523" spans="1:11">
      <c r="A523" s="1389"/>
      <c r="B523" s="1197" t="s">
        <v>27</v>
      </c>
      <c r="C523" s="766" t="s">
        <v>995</v>
      </c>
      <c r="D523" s="766"/>
      <c r="E523" s="1203">
        <v>2005</v>
      </c>
      <c r="F523" s="1202"/>
      <c r="G523" s="766"/>
      <c r="H523" s="1413"/>
      <c r="I523" s="1160"/>
      <c r="J523" s="1419"/>
      <c r="K523" s="1416"/>
    </row>
    <row r="524" spans="1:11">
      <c r="A524" s="1389"/>
      <c r="B524" s="1197" t="s">
        <v>25</v>
      </c>
      <c r="C524" s="767" t="s">
        <v>654</v>
      </c>
      <c r="D524" s="1204"/>
      <c r="E524" s="1203">
        <v>1999</v>
      </c>
      <c r="F524" s="1197"/>
      <c r="G524" s="766"/>
      <c r="H524" s="1413"/>
      <c r="I524" s="1160"/>
      <c r="J524" s="1419"/>
      <c r="K524" s="1416"/>
    </row>
    <row r="525" spans="1:11">
      <c r="A525" s="1389"/>
      <c r="B525" s="1207"/>
      <c r="C525" s="1205"/>
      <c r="D525" s="1204"/>
      <c r="E525" s="1206"/>
      <c r="F525" s="1207"/>
      <c r="G525" s="1312"/>
      <c r="H525" s="1196"/>
      <c r="I525" s="1421"/>
      <c r="J525" s="1131"/>
      <c r="K525" s="1136"/>
    </row>
    <row r="526" spans="1:11">
      <c r="A526" s="1389"/>
      <c r="B526" s="1325"/>
      <c r="C526" s="1428" t="s">
        <v>1824</v>
      </c>
      <c r="D526" s="1429"/>
      <c r="E526" s="1430"/>
      <c r="F526" s="1431"/>
      <c r="G526" s="1196"/>
      <c r="H526" s="1196"/>
      <c r="I526" s="1162"/>
      <c r="J526" s="1196"/>
      <c r="K526" s="1196"/>
    </row>
    <row r="527" spans="1:11">
      <c r="A527" s="1389"/>
      <c r="B527" s="1158"/>
      <c r="C527" s="1398"/>
      <c r="D527" s="1399"/>
      <c r="E527" s="1400"/>
      <c r="F527" s="1401"/>
      <c r="G527" s="1196"/>
      <c r="H527" s="1196"/>
      <c r="I527" s="1162"/>
      <c r="J527" s="1196"/>
      <c r="K527" s="1196"/>
    </row>
    <row r="528" spans="1:11">
      <c r="A528" s="1394">
        <v>1</v>
      </c>
      <c r="B528" s="1396"/>
      <c r="C528" s="1352"/>
      <c r="D528" s="1352"/>
      <c r="E528" s="1422"/>
      <c r="F528" s="1396" t="s">
        <v>1360</v>
      </c>
      <c r="G528" s="1396"/>
      <c r="H528" s="1423"/>
      <c r="I528" s="1424" t="s">
        <v>1807</v>
      </c>
      <c r="J528" s="1425"/>
      <c r="K528" s="1352"/>
    </row>
    <row r="529" spans="1:11">
      <c r="A529" s="1131"/>
      <c r="B529" s="1207" t="s">
        <v>25</v>
      </c>
      <c r="C529" s="1205" t="s">
        <v>619</v>
      </c>
      <c r="D529" s="1204"/>
      <c r="E529" s="1206">
        <v>1995</v>
      </c>
      <c r="F529" s="1207"/>
      <c r="G529" s="1207"/>
      <c r="H529" s="1196"/>
      <c r="I529" s="1159">
        <v>36.35</v>
      </c>
      <c r="J529" s="1395" t="s">
        <v>29</v>
      </c>
      <c r="K529" s="1131"/>
    </row>
    <row r="530" spans="1:11">
      <c r="A530" s="1389"/>
      <c r="B530" s="1202" t="s">
        <v>27</v>
      </c>
      <c r="C530" s="1205" t="s">
        <v>1408</v>
      </c>
      <c r="D530" s="1204"/>
      <c r="E530" s="1206">
        <v>2001</v>
      </c>
      <c r="F530" s="1207"/>
      <c r="G530" s="1207"/>
      <c r="H530" s="1196"/>
      <c r="I530" s="1159"/>
      <c r="J530" s="1395"/>
      <c r="K530" s="1131"/>
    </row>
    <row r="531" spans="1:11">
      <c r="A531" s="1389"/>
      <c r="B531" s="1202" t="s">
        <v>27</v>
      </c>
      <c r="C531" s="1157" t="s">
        <v>1416</v>
      </c>
      <c r="D531" s="1204"/>
      <c r="E531" s="1206">
        <v>2003</v>
      </c>
      <c r="F531" s="1207"/>
      <c r="G531" s="1207"/>
      <c r="H531" s="1196"/>
      <c r="I531" s="1159"/>
      <c r="J531" s="1395"/>
      <c r="K531" s="1131"/>
    </row>
    <row r="532" spans="1:11">
      <c r="A532" s="1389"/>
      <c r="B532" s="1207" t="s">
        <v>25</v>
      </c>
      <c r="C532" s="1205" t="s">
        <v>600</v>
      </c>
      <c r="D532" s="1204"/>
      <c r="E532" s="1206">
        <v>1997</v>
      </c>
      <c r="F532" s="1207"/>
      <c r="G532" s="1207"/>
      <c r="H532" s="1196"/>
      <c r="I532" s="1159"/>
      <c r="J532" s="1395"/>
      <c r="K532" s="1131"/>
    </row>
    <row r="533" spans="1:11">
      <c r="A533" s="1389"/>
      <c r="B533" s="1207"/>
      <c r="C533" s="1205"/>
      <c r="D533" s="1204"/>
      <c r="E533" s="1206"/>
      <c r="F533" s="1207"/>
      <c r="G533" s="1207"/>
      <c r="H533" s="1196"/>
      <c r="I533" s="1159"/>
      <c r="J533" s="1395"/>
      <c r="K533" s="1131"/>
    </row>
    <row r="534" spans="1:11">
      <c r="A534" s="1392">
        <v>2</v>
      </c>
      <c r="B534" s="1369"/>
      <c r="C534" s="1343"/>
      <c r="D534" s="1343"/>
      <c r="E534" s="1394"/>
      <c r="F534" s="1396" t="s">
        <v>1825</v>
      </c>
      <c r="G534" s="1394"/>
      <c r="H534" s="1393"/>
      <c r="I534" s="1394" t="s">
        <v>1808</v>
      </c>
      <c r="J534" s="1426"/>
      <c r="K534" s="1343"/>
    </row>
    <row r="535" spans="1:11">
      <c r="A535" s="1389"/>
      <c r="B535" s="1136" t="s">
        <v>29</v>
      </c>
      <c r="C535" s="1131" t="s">
        <v>1348</v>
      </c>
      <c r="D535" s="1131"/>
      <c r="E535" s="1136">
        <v>2003</v>
      </c>
      <c r="F535" s="1136"/>
      <c r="G535" s="1136"/>
      <c r="H535" s="1196"/>
      <c r="I535" s="1136">
        <v>38.96</v>
      </c>
      <c r="J535" s="1395" t="s">
        <v>29</v>
      </c>
      <c r="K535" s="1131"/>
    </row>
    <row r="536" spans="1:11">
      <c r="A536" s="1389"/>
      <c r="B536" s="1132" t="s">
        <v>29</v>
      </c>
      <c r="C536" s="1135" t="s">
        <v>1389</v>
      </c>
      <c r="D536" s="1135"/>
      <c r="E536" s="1132">
        <v>2001</v>
      </c>
      <c r="F536" s="1132"/>
      <c r="G536" s="1132"/>
      <c r="H536" s="1196"/>
      <c r="I536" s="1133"/>
      <c r="J536" s="1395"/>
      <c r="K536" s="1131"/>
    </row>
    <row r="537" spans="1:11">
      <c r="A537" s="1389"/>
      <c r="B537" s="1136" t="s">
        <v>27</v>
      </c>
      <c r="C537" s="47" t="s">
        <v>1388</v>
      </c>
      <c r="D537" s="1131"/>
      <c r="E537" s="1136">
        <v>2002</v>
      </c>
      <c r="F537" s="1136"/>
      <c r="G537" s="1136"/>
      <c r="H537" s="1196"/>
      <c r="I537" s="1132"/>
      <c r="J537" s="1395"/>
      <c r="K537" s="1131"/>
    </row>
    <row r="538" spans="1:11">
      <c r="A538" s="1131"/>
      <c r="B538" s="1136" t="s">
        <v>25</v>
      </c>
      <c r="C538" s="1131" t="s">
        <v>566</v>
      </c>
      <c r="D538" s="1131"/>
      <c r="E538" s="1136">
        <v>1998</v>
      </c>
      <c r="F538" s="1136"/>
      <c r="G538" s="1136"/>
      <c r="H538" s="1196"/>
      <c r="I538" s="1136"/>
      <c r="J538" s="1395"/>
      <c r="K538" s="1135"/>
    </row>
    <row r="539" spans="1:11">
      <c r="A539" s="1131"/>
      <c r="B539" s="1136"/>
      <c r="C539" s="1131"/>
      <c r="D539" s="1131"/>
      <c r="E539" s="1136"/>
      <c r="F539" s="1136"/>
      <c r="G539" s="1136"/>
      <c r="H539" s="1196"/>
      <c r="I539" s="1136"/>
      <c r="J539" s="1395"/>
      <c r="K539" s="1135"/>
    </row>
    <row r="540" spans="1:11">
      <c r="A540" s="1392">
        <v>3</v>
      </c>
      <c r="B540" s="1369"/>
      <c r="C540" s="1336"/>
      <c r="D540" s="1337"/>
      <c r="E540" s="1338"/>
      <c r="F540" s="1368" t="s">
        <v>553</v>
      </c>
      <c r="G540" s="1369"/>
      <c r="H540" s="1393"/>
      <c r="I540" s="1424" t="s">
        <v>1809</v>
      </c>
      <c r="J540" s="1426"/>
      <c r="K540" s="1343"/>
    </row>
    <row r="541" spans="1:11">
      <c r="A541" s="1389"/>
      <c r="B541" s="1202" t="s">
        <v>1</v>
      </c>
      <c r="C541" s="1205" t="s">
        <v>1472</v>
      </c>
      <c r="D541" s="1204"/>
      <c r="E541" s="1206">
        <v>2005</v>
      </c>
      <c r="F541" s="1207"/>
      <c r="G541" s="1207"/>
      <c r="H541" s="1196"/>
      <c r="I541" s="1159" t="s">
        <v>1810</v>
      </c>
      <c r="J541" s="1415" t="s">
        <v>1</v>
      </c>
      <c r="K541" s="1131"/>
    </row>
    <row r="542" spans="1:11">
      <c r="A542" s="1389"/>
      <c r="B542" s="1207" t="s">
        <v>29</v>
      </c>
      <c r="C542" s="1205" t="s">
        <v>1384</v>
      </c>
      <c r="D542" s="1204"/>
      <c r="E542" s="1206">
        <v>2004</v>
      </c>
      <c r="F542" s="1207"/>
      <c r="G542" s="1207"/>
      <c r="H542" s="1196"/>
      <c r="I542" s="1159"/>
      <c r="J542" s="1395"/>
      <c r="K542" s="1135"/>
    </row>
    <row r="543" spans="1:11">
      <c r="A543" s="1389"/>
      <c r="B543" s="1132" t="s">
        <v>29</v>
      </c>
      <c r="C543" s="1135" t="s">
        <v>1474</v>
      </c>
      <c r="D543" s="1135"/>
      <c r="E543" s="1132">
        <v>2006</v>
      </c>
      <c r="F543" s="1132"/>
      <c r="G543" s="1132"/>
      <c r="H543" s="1196"/>
      <c r="I543" s="1133"/>
      <c r="J543" s="1395"/>
      <c r="K543" s="1135"/>
    </row>
    <row r="544" spans="1:11">
      <c r="A544" s="1389"/>
      <c r="B544" s="1136" t="s">
        <v>29</v>
      </c>
      <c r="C544" s="1131" t="s">
        <v>1010</v>
      </c>
      <c r="D544" s="1131"/>
      <c r="E544" s="1132">
        <v>2006</v>
      </c>
      <c r="F544" s="1136"/>
      <c r="G544" s="1136"/>
      <c r="H544" s="1196"/>
      <c r="I544" s="1136"/>
      <c r="J544" s="1395"/>
      <c r="K544" s="1131"/>
    </row>
    <row r="545" spans="1:11">
      <c r="A545" s="1131"/>
      <c r="B545" s="1207"/>
      <c r="C545" s="1157"/>
      <c r="D545" s="1204"/>
      <c r="E545" s="1206"/>
      <c r="F545" s="1312"/>
      <c r="G545" s="1312"/>
      <c r="H545" s="1196"/>
      <c r="I545" s="1159"/>
      <c r="J545" s="1395"/>
      <c r="K545" s="1131"/>
    </row>
    <row r="546" spans="1:11">
      <c r="A546" s="1392">
        <v>4</v>
      </c>
      <c r="B546" s="1373"/>
      <c r="C546" s="1374"/>
      <c r="D546" s="1343"/>
      <c r="E546" s="1427"/>
      <c r="F546" s="1360" t="s">
        <v>1703</v>
      </c>
      <c r="G546" s="1373"/>
      <c r="H546" s="1393"/>
      <c r="I546" s="1375" t="s">
        <v>1811</v>
      </c>
      <c r="J546" s="1426"/>
      <c r="K546" s="1374"/>
    </row>
    <row r="547" spans="1:11">
      <c r="A547" s="1389"/>
      <c r="B547" s="1136" t="s">
        <v>29</v>
      </c>
      <c r="C547" s="1131" t="s">
        <v>1531</v>
      </c>
      <c r="D547" s="1131"/>
      <c r="E547" s="1206">
        <v>2004</v>
      </c>
      <c r="F547" s="1136"/>
      <c r="G547" s="1136"/>
      <c r="H547" s="1196"/>
      <c r="I547" s="1136">
        <v>41.11</v>
      </c>
      <c r="J547" s="1415" t="s">
        <v>1</v>
      </c>
      <c r="K547" s="1135"/>
    </row>
    <row r="548" spans="1:11">
      <c r="A548" s="1131"/>
      <c r="B548" s="1207" t="s">
        <v>29</v>
      </c>
      <c r="C548" s="1205" t="s">
        <v>1742</v>
      </c>
      <c r="D548" s="1204"/>
      <c r="E548" s="1206">
        <v>2003</v>
      </c>
      <c r="F548" s="1207"/>
      <c r="G548" s="1207"/>
      <c r="H548" s="1196"/>
      <c r="I548" s="1159"/>
      <c r="J548" s="1395"/>
      <c r="K548" s="1135"/>
    </row>
    <row r="549" spans="1:11">
      <c r="A549" s="1389"/>
      <c r="B549" s="1207" t="s">
        <v>29</v>
      </c>
      <c r="C549" s="1205" t="s">
        <v>1377</v>
      </c>
      <c r="D549" s="1204"/>
      <c r="E549" s="1206">
        <v>2002</v>
      </c>
      <c r="F549" s="1207"/>
      <c r="G549" s="1207"/>
      <c r="H549" s="1196"/>
      <c r="I549" s="1159"/>
      <c r="J549" s="1395"/>
      <c r="K549" s="1135"/>
    </row>
    <row r="550" spans="1:11">
      <c r="A550" s="1389"/>
      <c r="B550" s="1202" t="s">
        <v>1</v>
      </c>
      <c r="C550" s="1205" t="s">
        <v>1375</v>
      </c>
      <c r="D550" s="1204"/>
      <c r="E550" s="1206">
        <v>2000</v>
      </c>
      <c r="F550" s="1207"/>
      <c r="G550" s="1207"/>
      <c r="H550" s="1196"/>
      <c r="I550" s="1159"/>
      <c r="J550" s="1395"/>
      <c r="K550" s="1131"/>
    </row>
    <row r="551" spans="1:11">
      <c r="A551" s="1389"/>
      <c r="B551" s="1207"/>
      <c r="C551" s="1205"/>
      <c r="D551" s="1204"/>
      <c r="E551" s="1206"/>
      <c r="F551" s="1207"/>
      <c r="G551" s="1207"/>
      <c r="H551" s="1196"/>
      <c r="I551" s="1159"/>
      <c r="J551" s="1395"/>
      <c r="K551" s="1131"/>
    </row>
    <row r="552" spans="1:11">
      <c r="A552" s="1392">
        <v>5</v>
      </c>
      <c r="B552" s="1369"/>
      <c r="C552" s="1343"/>
      <c r="D552" s="1337"/>
      <c r="E552" s="1338"/>
      <c r="F552" s="1368" t="s">
        <v>1445</v>
      </c>
      <c r="G552" s="1369"/>
      <c r="H552" s="1393"/>
      <c r="I552" s="1424" t="s">
        <v>1812</v>
      </c>
      <c r="J552" s="1426"/>
      <c r="K552" s="1374"/>
    </row>
    <row r="553" spans="1:11">
      <c r="A553" s="1389"/>
      <c r="B553" s="1132" t="s">
        <v>27</v>
      </c>
      <c r="C553" s="1135" t="s">
        <v>1467</v>
      </c>
      <c r="D553" s="1135"/>
      <c r="E553" s="1132">
        <v>2004</v>
      </c>
      <c r="F553" s="1132"/>
      <c r="G553" s="1132"/>
      <c r="H553" s="1196"/>
      <c r="I553" s="1136">
        <v>36.92</v>
      </c>
      <c r="J553" s="1395" t="s">
        <v>29</v>
      </c>
      <c r="K553" s="1135"/>
    </row>
    <row r="554" spans="1:11">
      <c r="A554" s="1389"/>
      <c r="B554" s="1202" t="s">
        <v>1</v>
      </c>
      <c r="C554" s="1131" t="s">
        <v>1513</v>
      </c>
      <c r="D554" s="1131"/>
      <c r="E554" s="1206">
        <v>2005</v>
      </c>
      <c r="F554" s="1136"/>
      <c r="G554" s="1136"/>
      <c r="H554" s="1196"/>
      <c r="I554" s="1136"/>
      <c r="J554" s="1395"/>
      <c r="K554" s="1131"/>
    </row>
    <row r="555" spans="1:11">
      <c r="A555" s="1131"/>
      <c r="B555" s="1202" t="s">
        <v>1</v>
      </c>
      <c r="C555" s="1205" t="s">
        <v>1469</v>
      </c>
      <c r="D555" s="1204"/>
      <c r="E555" s="1206">
        <v>2005</v>
      </c>
      <c r="F555" s="1207"/>
      <c r="G555" s="1207"/>
      <c r="H555" s="1196"/>
      <c r="I555" s="1159"/>
      <c r="J555" s="1395"/>
      <c r="K555" s="1131"/>
    </row>
    <row r="556" spans="1:11">
      <c r="A556" s="1389"/>
      <c r="B556" s="1202" t="s">
        <v>1</v>
      </c>
      <c r="C556" s="1205" t="s">
        <v>1514</v>
      </c>
      <c r="D556" s="1204"/>
      <c r="E556" s="1206">
        <v>2005</v>
      </c>
      <c r="F556" s="1207"/>
      <c r="G556" s="1207"/>
      <c r="H556" s="1196"/>
      <c r="I556" s="1159"/>
      <c r="J556" s="1395"/>
      <c r="K556" s="1131"/>
    </row>
    <row r="557" spans="1:11">
      <c r="A557" s="1389"/>
      <c r="B557" s="1207"/>
      <c r="C557" s="1205"/>
      <c r="D557" s="1205"/>
      <c r="E557" s="1206"/>
      <c r="F557" s="1397"/>
      <c r="G557" s="1207"/>
      <c r="H557" s="1196"/>
      <c r="I557" s="1162"/>
      <c r="J557" s="1395"/>
      <c r="K557" s="1131"/>
    </row>
    <row r="558" spans="1:11">
      <c r="A558" s="1210"/>
      <c r="B558" s="1210"/>
      <c r="C558" s="524" t="s">
        <v>139</v>
      </c>
      <c r="D558" s="525"/>
      <c r="E558" s="526"/>
      <c r="F558" s="524"/>
      <c r="G558" s="524"/>
      <c r="H558" s="524"/>
      <c r="I558" s="529"/>
    </row>
    <row r="559" spans="1:11">
      <c r="A559" s="133"/>
      <c r="C559" s="134"/>
      <c r="D559" s="1210"/>
      <c r="E559" s="1210"/>
      <c r="F559" s="133"/>
      <c r="G559" s="47"/>
      <c r="H559" s="739"/>
      <c r="I559" s="733"/>
    </row>
    <row r="560" spans="1:11">
      <c r="A560" s="1130">
        <v>1</v>
      </c>
      <c r="B560" s="1168" t="s">
        <v>23</v>
      </c>
      <c r="C560" s="1205" t="s">
        <v>552</v>
      </c>
      <c r="D560" s="1204"/>
      <c r="E560" s="1206">
        <v>1993</v>
      </c>
      <c r="F560" s="1330" t="s">
        <v>1431</v>
      </c>
      <c r="G560" s="766"/>
      <c r="H560" s="1160"/>
      <c r="I560" s="765" t="s">
        <v>1866</v>
      </c>
    </row>
    <row r="561" spans="1:11">
      <c r="A561" s="1130">
        <v>2</v>
      </c>
      <c r="B561" s="1207" t="s">
        <v>27</v>
      </c>
      <c r="C561" s="1205" t="s">
        <v>595</v>
      </c>
      <c r="D561" s="1204"/>
      <c r="E561" s="1206">
        <v>2000</v>
      </c>
      <c r="F561" s="1330" t="s">
        <v>1431</v>
      </c>
      <c r="G561" s="766"/>
      <c r="H561" s="1160"/>
      <c r="I561" s="765" t="s">
        <v>1865</v>
      </c>
    </row>
    <row r="562" spans="1:11">
      <c r="A562" s="1130">
        <v>3</v>
      </c>
      <c r="B562" s="1207" t="s">
        <v>25</v>
      </c>
      <c r="C562" s="1205" t="s">
        <v>554</v>
      </c>
      <c r="D562" s="1204"/>
      <c r="E562" s="1206">
        <v>1995</v>
      </c>
      <c r="F562" s="1330" t="s">
        <v>1431</v>
      </c>
      <c r="G562" s="766"/>
      <c r="H562" s="1160"/>
      <c r="I562" s="765" t="s">
        <v>1867</v>
      </c>
    </row>
    <row r="563" spans="1:11">
      <c r="A563" s="1130">
        <v>4</v>
      </c>
      <c r="B563" s="1207" t="s">
        <v>29</v>
      </c>
      <c r="C563" s="1205" t="s">
        <v>1527</v>
      </c>
      <c r="D563" s="1204"/>
      <c r="E563" s="1206">
        <v>2003</v>
      </c>
      <c r="F563" s="1330" t="s">
        <v>553</v>
      </c>
      <c r="G563" s="766"/>
      <c r="H563" s="1160"/>
      <c r="I563" s="765" t="s">
        <v>1864</v>
      </c>
    </row>
    <row r="564" spans="1:11">
      <c r="A564" s="1130"/>
      <c r="B564" s="1207"/>
      <c r="C564" s="1205"/>
      <c r="D564" s="1204"/>
      <c r="E564" s="1206"/>
      <c r="F564" s="1330"/>
      <c r="G564" s="766"/>
      <c r="H564" s="1160"/>
      <c r="I564" s="765"/>
    </row>
    <row r="565" spans="1:11">
      <c r="A565" s="1210"/>
      <c r="B565" s="1210"/>
      <c r="C565" s="524" t="s">
        <v>1871</v>
      </c>
      <c r="D565" s="525"/>
      <c r="E565" s="526"/>
      <c r="F565" s="524"/>
      <c r="G565" s="524"/>
      <c r="H565" s="524"/>
      <c r="I565" s="529"/>
    </row>
    <row r="566" spans="1:11">
      <c r="A566" s="1130">
        <v>1</v>
      </c>
      <c r="B566" s="1201" t="s">
        <v>25</v>
      </c>
      <c r="C566" s="1205" t="s">
        <v>1462</v>
      </c>
      <c r="D566" s="1204"/>
      <c r="E566" s="1206">
        <v>2001</v>
      </c>
      <c r="F566" s="1330" t="s">
        <v>1463</v>
      </c>
      <c r="G566" s="766"/>
      <c r="H566" s="1160"/>
      <c r="I566" s="1160" t="s">
        <v>1869</v>
      </c>
    </row>
    <row r="567" spans="1:11">
      <c r="A567" s="1130">
        <v>2</v>
      </c>
      <c r="B567" s="1168" t="s">
        <v>25</v>
      </c>
      <c r="C567" s="1205" t="s">
        <v>619</v>
      </c>
      <c r="D567" s="1204"/>
      <c r="E567" s="1206">
        <v>1995</v>
      </c>
      <c r="F567" s="1330" t="s">
        <v>1431</v>
      </c>
      <c r="G567" s="766"/>
      <c r="H567" s="1160"/>
      <c r="I567" s="765" t="s">
        <v>1870</v>
      </c>
    </row>
    <row r="568" spans="1:11">
      <c r="A568" s="1130"/>
      <c r="B568" s="1168" t="s">
        <v>29</v>
      </c>
      <c r="C568" s="1205" t="s">
        <v>1830</v>
      </c>
      <c r="D568" s="1204"/>
      <c r="E568" s="1206">
        <v>2006</v>
      </c>
      <c r="F568" s="1330" t="s">
        <v>553</v>
      </c>
      <c r="G568" s="766"/>
      <c r="H568" s="1160"/>
      <c r="I568" s="1160" t="s">
        <v>1868</v>
      </c>
      <c r="K568" t="s">
        <v>1471</v>
      </c>
    </row>
    <row r="569" spans="1:11">
      <c r="A569" s="1130"/>
      <c r="B569" s="1168" t="s">
        <v>29</v>
      </c>
      <c r="C569" s="1205" t="s">
        <v>1733</v>
      </c>
      <c r="D569" s="1204"/>
      <c r="E569" s="1206">
        <v>1999</v>
      </c>
      <c r="F569" s="1330" t="s">
        <v>1443</v>
      </c>
      <c r="G569" s="766"/>
      <c r="H569" s="1160"/>
      <c r="I569" s="765" t="s">
        <v>1622</v>
      </c>
    </row>
    <row r="571" spans="1:11">
      <c r="A571" s="1210"/>
      <c r="B571" s="1210"/>
      <c r="C571" s="524" t="s">
        <v>1831</v>
      </c>
      <c r="D571" s="525"/>
      <c r="E571" s="526"/>
      <c r="F571" s="524"/>
      <c r="G571" s="524"/>
      <c r="H571" s="527"/>
      <c r="I571" s="732"/>
    </row>
    <row r="572" spans="1:11">
      <c r="A572" s="1130"/>
      <c r="B572" s="1210"/>
      <c r="C572" s="1210"/>
      <c r="D572" s="1210"/>
      <c r="E572" s="1210"/>
      <c r="F572" s="1210"/>
      <c r="G572" s="1210"/>
      <c r="H572" s="1210"/>
      <c r="I572" s="1210"/>
    </row>
    <row r="573" spans="1:11">
      <c r="A573" s="1130">
        <v>1</v>
      </c>
      <c r="B573" s="1207" t="s">
        <v>27</v>
      </c>
      <c r="C573" s="1205" t="s">
        <v>567</v>
      </c>
      <c r="D573" s="1204"/>
      <c r="E573" s="1206">
        <v>1999</v>
      </c>
      <c r="F573" s="1330" t="s">
        <v>1431</v>
      </c>
      <c r="G573" s="766"/>
      <c r="I573" s="1159">
        <v>18.11</v>
      </c>
      <c r="J573" s="1160"/>
      <c r="K573" s="765"/>
    </row>
    <row r="574" spans="1:11">
      <c r="A574" s="1130">
        <v>2</v>
      </c>
      <c r="B574" s="1197" t="s">
        <v>29</v>
      </c>
      <c r="C574" s="767" t="s">
        <v>1527</v>
      </c>
      <c r="D574" s="767"/>
      <c r="E574" s="1203">
        <v>2005</v>
      </c>
      <c r="F574" s="766" t="s">
        <v>553</v>
      </c>
      <c r="G574" s="766"/>
      <c r="H574" s="364"/>
      <c r="I574" s="1159">
        <v>18.329999999999998</v>
      </c>
      <c r="J574" s="1160"/>
      <c r="K574" s="1160"/>
    </row>
    <row r="575" spans="1:11">
      <c r="A575" s="1130">
        <v>3</v>
      </c>
      <c r="B575" s="1207" t="s">
        <v>27</v>
      </c>
      <c r="C575" s="1205" t="s">
        <v>668</v>
      </c>
      <c r="D575" s="1204"/>
      <c r="E575" s="1206">
        <v>2004</v>
      </c>
      <c r="F575" s="1330" t="s">
        <v>1448</v>
      </c>
      <c r="G575" s="766"/>
      <c r="I575" s="1159">
        <v>18.39</v>
      </c>
      <c r="J575" s="1160"/>
      <c r="K575" s="1160"/>
    </row>
    <row r="576" spans="1:11">
      <c r="A576" s="1130">
        <v>4</v>
      </c>
      <c r="B576" s="1207" t="s">
        <v>25</v>
      </c>
      <c r="C576" s="1205" t="s">
        <v>580</v>
      </c>
      <c r="D576" s="1204"/>
      <c r="E576" s="1206">
        <v>1998</v>
      </c>
      <c r="F576" s="1330" t="s">
        <v>1431</v>
      </c>
      <c r="G576" s="766"/>
      <c r="I576" s="1159">
        <v>18.64</v>
      </c>
      <c r="J576" s="1160"/>
      <c r="K576" s="1160"/>
    </row>
    <row r="577" spans="1:11">
      <c r="A577" s="1130">
        <v>5</v>
      </c>
      <c r="B577" s="1207" t="s">
        <v>29</v>
      </c>
      <c r="C577" s="1205" t="s">
        <v>1434</v>
      </c>
      <c r="D577" s="1204"/>
      <c r="E577" s="1206">
        <v>2003</v>
      </c>
      <c r="F577" s="1330" t="s">
        <v>1433</v>
      </c>
      <c r="G577" s="766"/>
      <c r="I577" s="1159">
        <v>18.96</v>
      </c>
      <c r="J577" s="1160"/>
      <c r="K577" s="765"/>
    </row>
    <row r="578" spans="1:11">
      <c r="A578" s="1130">
        <v>6</v>
      </c>
      <c r="B578" s="1168" t="s">
        <v>29</v>
      </c>
      <c r="C578" s="1205" t="s">
        <v>1365</v>
      </c>
      <c r="D578" s="1204"/>
      <c r="E578" s="1206">
        <v>2006</v>
      </c>
      <c r="F578" s="1330" t="s">
        <v>553</v>
      </c>
      <c r="G578" s="766"/>
      <c r="I578" s="1159">
        <v>19.079999999999998</v>
      </c>
      <c r="J578" s="1160"/>
      <c r="K578" s="1160"/>
    </row>
    <row r="579" spans="1:11">
      <c r="A579" s="1130">
        <v>7</v>
      </c>
      <c r="B579" s="1201" t="s">
        <v>29</v>
      </c>
      <c r="C579" s="1205" t="s">
        <v>1025</v>
      </c>
      <c r="D579" s="1204"/>
      <c r="E579" s="1206">
        <v>2006</v>
      </c>
      <c r="F579" s="1330" t="s">
        <v>1445</v>
      </c>
      <c r="G579" s="766"/>
      <c r="I579" s="1159">
        <v>19.66</v>
      </c>
      <c r="J579" s="1160"/>
      <c r="K579" s="1160"/>
    </row>
    <row r="580" spans="1:11">
      <c r="A580" s="1130">
        <v>8</v>
      </c>
      <c r="B580" s="1168" t="s">
        <v>27</v>
      </c>
      <c r="C580" s="1205" t="s">
        <v>1489</v>
      </c>
      <c r="D580" s="1204"/>
      <c r="E580" s="1206">
        <v>2005</v>
      </c>
      <c r="F580" s="1330" t="s">
        <v>553</v>
      </c>
      <c r="G580" s="766"/>
      <c r="I580" s="1159">
        <v>19.79</v>
      </c>
      <c r="J580" s="1160"/>
    </row>
    <row r="581" spans="1:11">
      <c r="A581" s="1130">
        <v>9</v>
      </c>
      <c r="B581" s="1168" t="s">
        <v>29</v>
      </c>
      <c r="C581" s="1205" t="s">
        <v>1488</v>
      </c>
      <c r="D581" s="1204"/>
      <c r="E581" s="1206">
        <v>2005</v>
      </c>
      <c r="F581" s="1330" t="s">
        <v>553</v>
      </c>
      <c r="G581" s="766"/>
      <c r="I581" s="1159">
        <v>20.53</v>
      </c>
      <c r="J581" s="1160"/>
      <c r="K581" s="1160"/>
    </row>
    <row r="582" spans="1:11">
      <c r="A582" s="1130">
        <v>10</v>
      </c>
      <c r="B582" s="1207" t="s">
        <v>29</v>
      </c>
      <c r="C582" s="1205" t="s">
        <v>1414</v>
      </c>
      <c r="D582" s="1204"/>
      <c r="E582" s="1206">
        <v>2001</v>
      </c>
      <c r="F582" s="1330" t="s">
        <v>1433</v>
      </c>
      <c r="G582" s="766"/>
      <c r="I582" s="1159">
        <v>20.81</v>
      </c>
      <c r="J582" s="1160"/>
    </row>
    <row r="583" spans="1:11">
      <c r="A583" s="1130">
        <v>11</v>
      </c>
      <c r="B583" s="1207" t="s">
        <v>1</v>
      </c>
      <c r="C583" s="1205" t="s">
        <v>1432</v>
      </c>
      <c r="D583" s="1204"/>
      <c r="E583" s="1206">
        <v>2003</v>
      </c>
      <c r="F583" s="1330" t="s">
        <v>1431</v>
      </c>
      <c r="G583" s="766"/>
      <c r="I583" s="1159">
        <v>20.96</v>
      </c>
      <c r="J583" s="1160"/>
      <c r="K583" s="765"/>
    </row>
    <row r="584" spans="1:11">
      <c r="A584" s="1130"/>
      <c r="B584" s="1207"/>
      <c r="C584" s="1205"/>
      <c r="D584" s="1204"/>
      <c r="E584" s="1206"/>
      <c r="F584" s="1330"/>
      <c r="G584" s="766"/>
      <c r="I584" s="1159"/>
      <c r="J584" s="1160"/>
      <c r="K584" s="1196"/>
    </row>
    <row r="585" spans="1:11">
      <c r="A585" s="1130"/>
      <c r="B585" s="1207"/>
      <c r="C585" s="524" t="s">
        <v>1834</v>
      </c>
      <c r="D585" s="525"/>
      <c r="E585" s="526"/>
      <c r="F585" s="524"/>
      <c r="G585" s="524"/>
      <c r="J585" s="1160"/>
      <c r="K585" s="1196"/>
    </row>
    <row r="586" spans="1:11">
      <c r="A586" s="1130"/>
      <c r="K586" s="1203"/>
    </row>
    <row r="587" spans="1:11">
      <c r="A587" s="1473">
        <v>1</v>
      </c>
      <c r="B587" s="1202" t="s">
        <v>25</v>
      </c>
      <c r="C587" s="1157" t="s">
        <v>1738</v>
      </c>
      <c r="D587" s="1204"/>
      <c r="E587" s="1206">
        <v>1997</v>
      </c>
      <c r="F587" s="27" t="s">
        <v>1464</v>
      </c>
      <c r="G587" s="767"/>
      <c r="H587" s="555"/>
      <c r="I587" s="1159">
        <v>15.12</v>
      </c>
      <c r="J587" s="1160"/>
      <c r="K587" s="1160"/>
    </row>
    <row r="588" spans="1:11">
      <c r="A588" s="1473">
        <v>2</v>
      </c>
      <c r="B588" s="1207" t="s">
        <v>29</v>
      </c>
      <c r="C588" s="1205" t="s">
        <v>1348</v>
      </c>
      <c r="D588" s="1204"/>
      <c r="E588" s="1206">
        <v>2003</v>
      </c>
      <c r="F588" s="1205" t="s">
        <v>1431</v>
      </c>
      <c r="G588" s="767"/>
      <c r="H588" s="555"/>
      <c r="I588" s="1159">
        <v>16.2</v>
      </c>
      <c r="J588" s="1160"/>
      <c r="K588" s="1176"/>
    </row>
    <row r="589" spans="1:11">
      <c r="A589" s="1473">
        <v>3</v>
      </c>
      <c r="B589" s="1207" t="s">
        <v>29</v>
      </c>
      <c r="C589" s="1205" t="s">
        <v>1416</v>
      </c>
      <c r="D589" s="1204"/>
      <c r="E589" s="1206">
        <v>2003</v>
      </c>
      <c r="F589" s="1205" t="s">
        <v>1431</v>
      </c>
      <c r="G589" s="767"/>
      <c r="H589" s="555"/>
      <c r="I589" s="1159">
        <v>16.260000000000002</v>
      </c>
      <c r="J589" s="1160"/>
      <c r="K589" s="1176"/>
    </row>
    <row r="590" spans="1:11">
      <c r="A590" s="1473">
        <v>4</v>
      </c>
      <c r="B590" s="1168" t="s">
        <v>29</v>
      </c>
      <c r="C590" s="1205" t="s">
        <v>997</v>
      </c>
      <c r="D590" s="1204"/>
      <c r="E590" s="1206">
        <v>2006</v>
      </c>
      <c r="F590" s="1205" t="s">
        <v>1344</v>
      </c>
      <c r="G590" s="767"/>
      <c r="H590" s="555"/>
      <c r="I590" s="1159">
        <v>16.3</v>
      </c>
      <c r="J590" s="1160"/>
      <c r="K590" s="1176"/>
    </row>
    <row r="591" spans="1:11">
      <c r="A591" s="1473">
        <v>5</v>
      </c>
      <c r="B591" s="1207" t="s">
        <v>27</v>
      </c>
      <c r="C591" s="1205" t="s">
        <v>1532</v>
      </c>
      <c r="D591" s="1204"/>
      <c r="E591" s="1206">
        <v>1999</v>
      </c>
      <c r="F591" s="1205" t="s">
        <v>1431</v>
      </c>
      <c r="G591" s="767"/>
      <c r="H591" s="555"/>
      <c r="I591" s="1159">
        <v>16.579999999999998</v>
      </c>
      <c r="J591" s="1160"/>
      <c r="K591" s="1176"/>
    </row>
    <row r="592" spans="1:11">
      <c r="A592" s="1473">
        <v>6</v>
      </c>
      <c r="B592" s="1168" t="s">
        <v>29</v>
      </c>
      <c r="C592" s="1205" t="s">
        <v>1012</v>
      </c>
      <c r="D592" s="1204"/>
      <c r="E592" s="1206">
        <v>2006</v>
      </c>
      <c r="F592" s="1205" t="s">
        <v>553</v>
      </c>
      <c r="G592" s="767"/>
      <c r="H592" s="555"/>
      <c r="I592" s="1159">
        <v>16.670000000000002</v>
      </c>
      <c r="J592" s="1160"/>
      <c r="K592" s="1164"/>
    </row>
    <row r="593" spans="1:11">
      <c r="A593" s="1473">
        <v>7</v>
      </c>
      <c r="B593" s="1168" t="s">
        <v>29</v>
      </c>
      <c r="C593" s="1205" t="s">
        <v>1384</v>
      </c>
      <c r="D593" s="1204"/>
      <c r="E593" s="1206">
        <v>2004</v>
      </c>
      <c r="F593" s="1205" t="s">
        <v>553</v>
      </c>
      <c r="G593" s="767"/>
      <c r="H593" s="555"/>
      <c r="I593" s="1159">
        <v>16.72</v>
      </c>
      <c r="J593" s="1160"/>
      <c r="K593" s="1203"/>
    </row>
    <row r="594" spans="1:11">
      <c r="A594" s="1473">
        <v>8</v>
      </c>
      <c r="B594" s="1207" t="s">
        <v>29</v>
      </c>
      <c r="C594" s="1205" t="s">
        <v>1737</v>
      </c>
      <c r="D594" s="1204"/>
      <c r="E594" s="1206">
        <v>2003</v>
      </c>
      <c r="F594" s="1205" t="s">
        <v>1448</v>
      </c>
      <c r="G594" s="767"/>
      <c r="H594" s="555"/>
      <c r="I594" s="1159">
        <v>17.05</v>
      </c>
      <c r="J594" s="1160"/>
      <c r="K594" s="1164"/>
    </row>
    <row r="595" spans="1:11">
      <c r="A595" s="1473">
        <v>9</v>
      </c>
      <c r="B595" s="1207" t="s">
        <v>27</v>
      </c>
      <c r="C595" s="1205" t="s">
        <v>1374</v>
      </c>
      <c r="D595" s="1204"/>
      <c r="E595" s="1206">
        <v>2003</v>
      </c>
      <c r="F595" s="1205" t="s">
        <v>1431</v>
      </c>
      <c r="G595" s="767"/>
      <c r="H595" s="555"/>
      <c r="I595" s="1159">
        <v>17.16</v>
      </c>
      <c r="J595" s="1160"/>
      <c r="K595" s="1160"/>
    </row>
    <row r="596" spans="1:11">
      <c r="A596" s="1473">
        <v>10</v>
      </c>
      <c r="B596" s="1158" t="s">
        <v>29</v>
      </c>
      <c r="C596" s="1205" t="s">
        <v>1387</v>
      </c>
      <c r="D596" s="1204"/>
      <c r="E596" s="1206">
        <v>2004</v>
      </c>
      <c r="F596" s="1205" t="s">
        <v>1344</v>
      </c>
      <c r="G596" s="767"/>
      <c r="H596" s="555"/>
      <c r="I596" s="1159">
        <v>17.37</v>
      </c>
      <c r="J596" s="1160"/>
      <c r="K596" s="1203"/>
    </row>
    <row r="597" spans="1:11">
      <c r="A597" s="1473">
        <v>11</v>
      </c>
      <c r="B597" s="1207" t="s">
        <v>29</v>
      </c>
      <c r="C597" s="1205" t="s">
        <v>1378</v>
      </c>
      <c r="D597" s="1204"/>
      <c r="E597" s="1206">
        <v>2002</v>
      </c>
      <c r="F597" s="1205" t="s">
        <v>1431</v>
      </c>
      <c r="G597" s="767"/>
      <c r="H597" s="555"/>
      <c r="I597" s="1159">
        <v>17.45</v>
      </c>
      <c r="J597" s="1160"/>
      <c r="K597" s="1160"/>
    </row>
    <row r="598" spans="1:11">
      <c r="A598" s="1473">
        <v>12</v>
      </c>
      <c r="B598" s="1207" t="s">
        <v>29</v>
      </c>
      <c r="C598" s="1205" t="s">
        <v>1389</v>
      </c>
      <c r="D598" s="1204"/>
      <c r="E598" s="1206">
        <v>2001</v>
      </c>
      <c r="F598" s="1205" t="s">
        <v>1431</v>
      </c>
      <c r="G598" s="767"/>
      <c r="H598" s="555"/>
      <c r="I598" s="1159">
        <v>17.53</v>
      </c>
      <c r="J598" s="1160"/>
      <c r="K598" s="1160"/>
    </row>
    <row r="599" spans="1:11">
      <c r="A599" s="1473">
        <v>13</v>
      </c>
      <c r="B599" s="1207" t="s">
        <v>1</v>
      </c>
      <c r="C599" s="1205" t="s">
        <v>1375</v>
      </c>
      <c r="D599" s="1204"/>
      <c r="E599" s="1206">
        <v>2002</v>
      </c>
      <c r="F599" s="1205" t="s">
        <v>1433</v>
      </c>
      <c r="G599" s="767"/>
      <c r="H599" s="555"/>
      <c r="I599" s="1159">
        <v>17.53</v>
      </c>
      <c r="J599" s="1160"/>
      <c r="K599" s="1160"/>
    </row>
    <row r="600" spans="1:11">
      <c r="A600" s="1473">
        <v>14</v>
      </c>
      <c r="B600" s="1168" t="s">
        <v>29</v>
      </c>
      <c r="C600" s="1205" t="s">
        <v>1406</v>
      </c>
      <c r="D600" s="1204"/>
      <c r="E600" s="1206">
        <v>2004</v>
      </c>
      <c r="F600" s="1205" t="s">
        <v>553</v>
      </c>
      <c r="G600" s="767"/>
      <c r="H600" s="555"/>
      <c r="I600" s="1159">
        <v>17.57</v>
      </c>
      <c r="J600" s="1160"/>
      <c r="K600" s="539"/>
    </row>
    <row r="601" spans="1:11">
      <c r="A601" s="1473">
        <v>15</v>
      </c>
      <c r="B601" s="1207" t="s">
        <v>1</v>
      </c>
      <c r="C601" s="1205" t="s">
        <v>1383</v>
      </c>
      <c r="D601" s="1204"/>
      <c r="E601" s="1206">
        <v>2003</v>
      </c>
      <c r="F601" s="27" t="s">
        <v>1512</v>
      </c>
      <c r="G601" s="767"/>
      <c r="H601" s="555"/>
      <c r="I601" s="1159">
        <v>17.72</v>
      </c>
      <c r="J601" s="1160"/>
      <c r="K601" s="1160"/>
    </row>
    <row r="602" spans="1:11">
      <c r="A602" s="1473">
        <v>16</v>
      </c>
      <c r="B602" s="1168" t="s">
        <v>29</v>
      </c>
      <c r="C602" s="1205" t="s">
        <v>1507</v>
      </c>
      <c r="D602" s="1204"/>
      <c r="E602" s="1206">
        <v>2003</v>
      </c>
      <c r="F602" s="1205" t="s">
        <v>1433</v>
      </c>
      <c r="G602" s="767"/>
      <c r="H602" s="555"/>
      <c r="I602" s="1159">
        <v>17.739999999999998</v>
      </c>
      <c r="J602" s="1160"/>
      <c r="K602" s="1160"/>
    </row>
    <row r="603" spans="1:11">
      <c r="A603" s="1473">
        <v>17</v>
      </c>
      <c r="B603" s="1168" t="s">
        <v>27</v>
      </c>
      <c r="C603" s="1205" t="s">
        <v>1523</v>
      </c>
      <c r="D603" s="1204"/>
      <c r="E603" s="1206">
        <v>1997</v>
      </c>
      <c r="F603" s="1205" t="s">
        <v>553</v>
      </c>
      <c r="G603" s="767"/>
      <c r="H603" s="555"/>
      <c r="I603" s="1159">
        <v>17.77</v>
      </c>
      <c r="J603" s="1160"/>
      <c r="K603" s="1176"/>
    </row>
    <row r="604" spans="1:11">
      <c r="A604" s="1473">
        <v>18</v>
      </c>
      <c r="B604" s="1207" t="s">
        <v>29</v>
      </c>
      <c r="C604" s="1205" t="s">
        <v>1390</v>
      </c>
      <c r="D604" s="1204"/>
      <c r="E604" s="1206">
        <v>2003</v>
      </c>
      <c r="F604" s="1205" t="s">
        <v>1433</v>
      </c>
      <c r="G604" s="767"/>
      <c r="H604" s="555"/>
      <c r="I604" s="1159">
        <v>18.100000000000001</v>
      </c>
      <c r="J604" s="1163"/>
      <c r="K604" s="1176"/>
    </row>
    <row r="605" spans="1:11">
      <c r="A605" s="1473">
        <v>19</v>
      </c>
      <c r="B605" s="1207" t="s">
        <v>1</v>
      </c>
      <c r="C605" s="1205" t="s">
        <v>1514</v>
      </c>
      <c r="D605" s="1204" t="s">
        <v>433</v>
      </c>
      <c r="E605" s="1206">
        <v>2005</v>
      </c>
      <c r="F605" s="1205" t="s">
        <v>1445</v>
      </c>
      <c r="G605" s="767"/>
      <c r="H605" s="555"/>
      <c r="I605" s="1159">
        <v>18.37</v>
      </c>
      <c r="J605" s="1160"/>
      <c r="K605" s="1203"/>
    </row>
    <row r="606" spans="1:11">
      <c r="A606" s="1473">
        <v>20</v>
      </c>
      <c r="B606" s="1207" t="s">
        <v>1</v>
      </c>
      <c r="C606" s="1205" t="s">
        <v>1407</v>
      </c>
      <c r="D606" s="1204"/>
      <c r="E606" s="1206">
        <v>2005</v>
      </c>
      <c r="F606" s="1205" t="s">
        <v>553</v>
      </c>
      <c r="G606" s="767"/>
      <c r="H606" s="555"/>
      <c r="I606" s="1159">
        <v>18.510000000000002</v>
      </c>
      <c r="J606" s="1160"/>
      <c r="K606" s="1160"/>
    </row>
    <row r="607" spans="1:11">
      <c r="A607" s="1473">
        <v>21</v>
      </c>
      <c r="B607" s="1207" t="s">
        <v>29</v>
      </c>
      <c r="C607" s="1205" t="s">
        <v>1377</v>
      </c>
      <c r="D607" s="1204"/>
      <c r="E607" s="1206">
        <v>2002</v>
      </c>
      <c r="F607" s="1205" t="s">
        <v>1431</v>
      </c>
      <c r="G607" s="767"/>
      <c r="H607" s="555"/>
      <c r="I607" s="1159">
        <v>19.02</v>
      </c>
      <c r="J607" s="1160"/>
      <c r="K607" s="1160"/>
    </row>
    <row r="608" spans="1:11">
      <c r="A608" s="1473">
        <v>22</v>
      </c>
      <c r="B608" s="1207" t="s">
        <v>13</v>
      </c>
      <c r="C608" s="1205" t="s">
        <v>1386</v>
      </c>
      <c r="D608" s="1204"/>
      <c r="E608" s="1206">
        <v>2006</v>
      </c>
      <c r="F608" s="1205" t="s">
        <v>553</v>
      </c>
      <c r="G608" s="767"/>
      <c r="H608" s="555"/>
      <c r="I608" s="1159">
        <v>20.05</v>
      </c>
      <c r="J608" s="1160"/>
      <c r="K608" s="1160"/>
    </row>
    <row r="609" spans="1:11">
      <c r="A609" s="1473">
        <v>23</v>
      </c>
      <c r="B609" s="1207" t="s">
        <v>13</v>
      </c>
      <c r="C609" s="1205" t="s">
        <v>1521</v>
      </c>
      <c r="D609" s="1204"/>
      <c r="E609" s="1206">
        <v>2006</v>
      </c>
      <c r="F609" s="1205" t="s">
        <v>553</v>
      </c>
      <c r="G609" s="767"/>
      <c r="H609" s="555"/>
      <c r="I609" s="1159">
        <v>20.329999999999998</v>
      </c>
      <c r="J609" s="1160"/>
      <c r="K609" s="1160"/>
    </row>
    <row r="610" spans="1:11">
      <c r="A610" s="555"/>
      <c r="B610" s="1207" t="s">
        <v>1</v>
      </c>
      <c r="C610" s="1205" t="s">
        <v>1472</v>
      </c>
      <c r="D610" s="1204"/>
      <c r="E610" s="1206">
        <v>2005</v>
      </c>
      <c r="F610" s="1205" t="s">
        <v>553</v>
      </c>
      <c r="G610" s="767"/>
      <c r="H610" s="555"/>
      <c r="I610" s="1473" t="s">
        <v>1621</v>
      </c>
      <c r="J610" s="1160"/>
      <c r="K610" s="1176"/>
    </row>
    <row r="611" spans="1:11">
      <c r="A611" s="555"/>
      <c r="B611" s="1198" t="s">
        <v>29</v>
      </c>
      <c r="C611" s="1199" t="s">
        <v>1353</v>
      </c>
      <c r="D611" s="1200"/>
      <c r="E611" s="1191">
        <v>2007</v>
      </c>
      <c r="F611" s="1199" t="s">
        <v>1448</v>
      </c>
      <c r="G611" s="1199" t="s">
        <v>1471</v>
      </c>
      <c r="H611" s="1474"/>
      <c r="I611" s="1159">
        <v>16.21</v>
      </c>
      <c r="J611" s="1214"/>
      <c r="K611" s="1214"/>
    </row>
    <row r="612" spans="1:11">
      <c r="A612" s="555"/>
      <c r="B612" s="1198" t="s">
        <v>13</v>
      </c>
      <c r="C612" s="1199" t="s">
        <v>1520</v>
      </c>
      <c r="D612" s="1200"/>
      <c r="E612" s="1191">
        <v>2007</v>
      </c>
      <c r="F612" s="1199" t="s">
        <v>553</v>
      </c>
      <c r="G612" s="1199" t="s">
        <v>1471</v>
      </c>
      <c r="H612" s="555"/>
      <c r="I612" s="1159">
        <v>18.46</v>
      </c>
      <c r="J612" s="1214"/>
      <c r="K612" s="1160"/>
    </row>
    <row r="614" spans="1:11">
      <c r="A614" s="1130"/>
      <c r="B614" s="1207"/>
      <c r="C614" s="524" t="s">
        <v>1835</v>
      </c>
      <c r="D614" s="525"/>
      <c r="E614" s="526"/>
      <c r="F614" s="524"/>
      <c r="G614" s="524"/>
      <c r="J614" s="1209"/>
      <c r="K614" s="1160"/>
    </row>
    <row r="615" spans="1:11" ht="14.25" customHeight="1">
      <c r="A615" s="1130"/>
      <c r="B615" s="1207"/>
      <c r="C615" s="1205"/>
      <c r="D615" s="1204"/>
      <c r="E615" s="1129"/>
      <c r="F615" s="1330"/>
      <c r="G615" s="1446"/>
      <c r="J615" s="1330"/>
      <c r="K615" s="1447"/>
    </row>
    <row r="616" spans="1:11">
      <c r="A616" s="1130">
        <v>1</v>
      </c>
      <c r="B616" s="1168" t="s">
        <v>29</v>
      </c>
      <c r="C616" s="1205" t="s">
        <v>1014</v>
      </c>
      <c r="D616" s="1204"/>
      <c r="E616" s="1206">
        <v>2006</v>
      </c>
      <c r="F616" s="1330" t="s">
        <v>553</v>
      </c>
      <c r="G616" s="766"/>
      <c r="I616" s="1159" t="s">
        <v>1877</v>
      </c>
      <c r="J616" s="1160"/>
      <c r="K616" s="1196"/>
    </row>
    <row r="617" spans="1:11">
      <c r="A617" s="1130">
        <v>2</v>
      </c>
      <c r="B617" s="1207" t="s">
        <v>27</v>
      </c>
      <c r="C617" s="1205" t="s">
        <v>1413</v>
      </c>
      <c r="D617" s="1204"/>
      <c r="E617" s="1206">
        <v>1998</v>
      </c>
      <c r="F617" s="1330" t="s">
        <v>1430</v>
      </c>
      <c r="G617" s="766"/>
      <c r="I617" s="1159" t="s">
        <v>1875</v>
      </c>
      <c r="J617" s="1160"/>
      <c r="K617" s="1170"/>
    </row>
    <row r="618" spans="1:11">
      <c r="A618" s="1130">
        <v>3</v>
      </c>
      <c r="B618" s="1168" t="s">
        <v>27</v>
      </c>
      <c r="C618" s="1205" t="s">
        <v>666</v>
      </c>
      <c r="D618" s="1204"/>
      <c r="E618" s="1206">
        <v>2003</v>
      </c>
      <c r="F618" s="1330" t="s">
        <v>1433</v>
      </c>
      <c r="G618" s="766"/>
      <c r="I618" s="1159" t="s">
        <v>1878</v>
      </c>
      <c r="J618" s="1160"/>
      <c r="K618" s="1160"/>
    </row>
    <row r="619" spans="1:11">
      <c r="A619" s="1130">
        <v>4</v>
      </c>
      <c r="B619" s="1207" t="s">
        <v>27</v>
      </c>
      <c r="C619" s="1205" t="s">
        <v>567</v>
      </c>
      <c r="D619" s="1204"/>
      <c r="E619" s="1206">
        <v>1999</v>
      </c>
      <c r="F619" s="1330" t="s">
        <v>1431</v>
      </c>
      <c r="G619" s="766"/>
      <c r="I619" s="1159" t="s">
        <v>1873</v>
      </c>
      <c r="J619" s="1160"/>
      <c r="K619" s="1160"/>
    </row>
    <row r="620" spans="1:11">
      <c r="A620" s="1130">
        <v>5</v>
      </c>
      <c r="B620" s="1207" t="s">
        <v>29</v>
      </c>
      <c r="C620" s="1205" t="s">
        <v>1441</v>
      </c>
      <c r="D620" s="1204"/>
      <c r="E620" s="1206">
        <v>2003</v>
      </c>
      <c r="F620" s="1330" t="s">
        <v>1433</v>
      </c>
      <c r="G620" s="766"/>
      <c r="I620" s="1159" t="s">
        <v>1879</v>
      </c>
      <c r="J620" s="1160"/>
      <c r="K620" s="1170"/>
    </row>
    <row r="622" spans="1:11">
      <c r="A622" s="1130"/>
      <c r="B622" s="1207"/>
      <c r="C622" s="1167"/>
      <c r="D622" s="1155"/>
      <c r="E622" s="1194"/>
      <c r="F622" s="1195"/>
      <c r="G622" s="766"/>
      <c r="I622" s="1159"/>
      <c r="J622" s="1160"/>
    </row>
    <row r="623" spans="1:11">
      <c r="A623" s="1130"/>
      <c r="B623" s="1207"/>
      <c r="C623" s="524" t="s">
        <v>1836</v>
      </c>
      <c r="D623" s="525"/>
      <c r="E623" s="526"/>
      <c r="F623" s="524"/>
      <c r="G623" s="524"/>
      <c r="I623" s="1159"/>
      <c r="J623" s="1447"/>
    </row>
    <row r="624" spans="1:11">
      <c r="A624" s="1130"/>
      <c r="B624" s="1210"/>
      <c r="C624" s="1210"/>
      <c r="D624" s="1210"/>
      <c r="E624" s="1210"/>
      <c r="F624" s="1210"/>
      <c r="G624" s="1210"/>
      <c r="I624" s="1159"/>
      <c r="J624" s="1210"/>
    </row>
    <row r="625" spans="1:11">
      <c r="A625" s="1130">
        <v>1</v>
      </c>
      <c r="B625" s="1207" t="s">
        <v>25</v>
      </c>
      <c r="C625" s="1169" t="s">
        <v>619</v>
      </c>
      <c r="D625" s="1189"/>
      <c r="E625" s="1206">
        <v>1995</v>
      </c>
      <c r="F625" s="1205" t="s">
        <v>1431</v>
      </c>
      <c r="G625" s="767"/>
      <c r="I625" s="1159" t="s">
        <v>1886</v>
      </c>
      <c r="J625" s="1160"/>
    </row>
    <row r="626" spans="1:11">
      <c r="A626" s="1130">
        <v>2</v>
      </c>
      <c r="B626" s="1207" t="s">
        <v>25</v>
      </c>
      <c r="C626" s="1205" t="s">
        <v>566</v>
      </c>
      <c r="D626" s="1204"/>
      <c r="E626" s="1206">
        <v>1998</v>
      </c>
      <c r="F626" s="1205" t="s">
        <v>1344</v>
      </c>
      <c r="G626" s="767"/>
      <c r="I626" s="1159" t="s">
        <v>1893</v>
      </c>
      <c r="J626" s="1163"/>
    </row>
    <row r="627" spans="1:11">
      <c r="A627" s="1130">
        <v>3</v>
      </c>
      <c r="B627" s="1201" t="s">
        <v>27</v>
      </c>
      <c r="C627" s="1205" t="s">
        <v>1467</v>
      </c>
      <c r="D627" s="1204"/>
      <c r="E627" s="1206">
        <v>2004</v>
      </c>
      <c r="F627" s="17" t="s">
        <v>1445</v>
      </c>
      <c r="G627" s="767"/>
      <c r="I627" s="1159" t="s">
        <v>1891</v>
      </c>
      <c r="J627" s="1160"/>
    </row>
    <row r="628" spans="1:11">
      <c r="A628" s="1130">
        <v>4</v>
      </c>
      <c r="B628" s="1202" t="s">
        <v>25</v>
      </c>
      <c r="C628" s="1157" t="s">
        <v>1738</v>
      </c>
      <c r="D628" s="1204"/>
      <c r="E628" s="1206">
        <v>1997</v>
      </c>
      <c r="F628" s="27" t="s">
        <v>1464</v>
      </c>
      <c r="G628" s="767"/>
      <c r="I628" s="1159" t="s">
        <v>1894</v>
      </c>
      <c r="J628" s="1160"/>
    </row>
    <row r="629" spans="1:11">
      <c r="A629" s="1130">
        <v>5</v>
      </c>
      <c r="B629" s="1168" t="s">
        <v>29</v>
      </c>
      <c r="C629" s="1205" t="s">
        <v>997</v>
      </c>
      <c r="D629" s="1204"/>
      <c r="E629" s="1206">
        <v>2006</v>
      </c>
      <c r="F629" s="1205" t="s">
        <v>1344</v>
      </c>
      <c r="G629" s="767"/>
      <c r="I629" s="1159" t="s">
        <v>1888</v>
      </c>
      <c r="J629" s="1160"/>
    </row>
    <row r="630" spans="1:11">
      <c r="A630" s="1130">
        <v>6</v>
      </c>
      <c r="B630" s="1207" t="s">
        <v>29</v>
      </c>
      <c r="C630" s="1205" t="s">
        <v>1348</v>
      </c>
      <c r="D630" s="1204"/>
      <c r="E630" s="1206">
        <v>2003</v>
      </c>
      <c r="F630" s="1205" t="s">
        <v>1431</v>
      </c>
      <c r="G630" s="767"/>
      <c r="I630" s="1159" t="s">
        <v>1889</v>
      </c>
      <c r="J630" s="1160"/>
    </row>
    <row r="631" spans="1:11">
      <c r="A631" s="1130">
        <v>7</v>
      </c>
      <c r="B631" s="1207" t="s">
        <v>29</v>
      </c>
      <c r="C631" s="1205" t="s">
        <v>1531</v>
      </c>
      <c r="D631" s="1204"/>
      <c r="E631" s="1206">
        <v>2004</v>
      </c>
      <c r="F631" s="1205" t="s">
        <v>1448</v>
      </c>
      <c r="G631" s="767"/>
      <c r="I631" s="1159" t="s">
        <v>1880</v>
      </c>
      <c r="J631" s="1160"/>
    </row>
    <row r="632" spans="1:11">
      <c r="A632" s="1130">
        <v>8</v>
      </c>
      <c r="B632" s="1207" t="s">
        <v>1837</v>
      </c>
      <c r="C632" s="1205" t="s">
        <v>1388</v>
      </c>
      <c r="D632" s="1204"/>
      <c r="E632" s="1206">
        <v>2002</v>
      </c>
      <c r="F632" s="1205" t="s">
        <v>1431</v>
      </c>
      <c r="G632" s="767"/>
      <c r="I632" s="1159" t="s">
        <v>1887</v>
      </c>
      <c r="J632" s="1160"/>
    </row>
    <row r="633" spans="1:11">
      <c r="A633" s="1130">
        <v>9</v>
      </c>
      <c r="B633" s="1207" t="s">
        <v>1</v>
      </c>
      <c r="C633" s="1205" t="s">
        <v>1472</v>
      </c>
      <c r="D633" s="1204"/>
      <c r="E633" s="1206">
        <v>2005</v>
      </c>
      <c r="F633" s="1205" t="s">
        <v>553</v>
      </c>
      <c r="G633" s="767"/>
      <c r="I633" s="1159" t="s">
        <v>1882</v>
      </c>
      <c r="J633" s="1160"/>
    </row>
    <row r="634" spans="1:11">
      <c r="A634" s="1130">
        <v>10</v>
      </c>
      <c r="B634" s="1168" t="s">
        <v>29</v>
      </c>
      <c r="C634" s="1205" t="s">
        <v>1012</v>
      </c>
      <c r="D634" s="1204"/>
      <c r="E634" s="1206">
        <v>2006</v>
      </c>
      <c r="F634" s="1205" t="s">
        <v>553</v>
      </c>
      <c r="G634" s="767"/>
      <c r="I634" s="1159" t="s">
        <v>1883</v>
      </c>
      <c r="J634" s="1160"/>
    </row>
    <row r="635" spans="1:11">
      <c r="A635" s="1130">
        <v>11</v>
      </c>
      <c r="B635" s="1207" t="s">
        <v>1</v>
      </c>
      <c r="C635" s="1205" t="s">
        <v>1013</v>
      </c>
      <c r="D635" s="1204"/>
      <c r="E635" s="1206">
        <v>2005</v>
      </c>
      <c r="F635" s="1205" t="s">
        <v>553</v>
      </c>
      <c r="G635" s="767"/>
      <c r="I635" s="1159" t="s">
        <v>1881</v>
      </c>
      <c r="J635" s="1160"/>
    </row>
    <row r="636" spans="1:11">
      <c r="A636" s="1130">
        <v>12</v>
      </c>
      <c r="B636" s="1207" t="s">
        <v>1</v>
      </c>
      <c r="C636" s="1205" t="s">
        <v>1469</v>
      </c>
      <c r="D636" s="1204"/>
      <c r="E636" s="1206">
        <v>2005</v>
      </c>
      <c r="F636" s="1205" t="s">
        <v>1445</v>
      </c>
      <c r="G636" s="767"/>
      <c r="I636" s="1159" t="s">
        <v>1890</v>
      </c>
      <c r="J636" s="1160"/>
    </row>
    <row r="637" spans="1:11">
      <c r="A637" s="1130">
        <v>13</v>
      </c>
      <c r="B637" s="1202" t="s">
        <v>27</v>
      </c>
      <c r="C637" s="1205" t="s">
        <v>1466</v>
      </c>
      <c r="D637" s="1204"/>
      <c r="E637" s="1206">
        <v>2001</v>
      </c>
      <c r="F637" s="1205" t="s">
        <v>1431</v>
      </c>
      <c r="G637" s="767"/>
      <c r="I637" s="1159" t="s">
        <v>1884</v>
      </c>
      <c r="J637" s="1160"/>
    </row>
    <row r="639" spans="1:11">
      <c r="A639" s="1130"/>
      <c r="B639" s="1207"/>
      <c r="C639" s="524" t="s">
        <v>1838</v>
      </c>
      <c r="D639" s="542"/>
      <c r="E639" s="542"/>
      <c r="F639" s="542"/>
      <c r="G639" s="542"/>
      <c r="I639" s="1159"/>
      <c r="J639" s="1447"/>
      <c r="K639" s="1210"/>
    </row>
    <row r="640" spans="1:11">
      <c r="A640" s="1130"/>
      <c r="B640" s="1207"/>
      <c r="C640" s="524"/>
      <c r="D640" s="542"/>
      <c r="E640" s="542"/>
      <c r="F640" s="542"/>
      <c r="G640" s="542"/>
      <c r="I640" s="1159"/>
      <c r="J640" s="1447"/>
      <c r="K640" s="1210"/>
    </row>
    <row r="641" spans="1:11">
      <c r="A641" s="1130">
        <v>1</v>
      </c>
      <c r="B641" s="1207" t="s">
        <v>27</v>
      </c>
      <c r="C641" s="1205" t="s">
        <v>1347</v>
      </c>
      <c r="D641" s="1204"/>
      <c r="E641" s="1206">
        <v>2003</v>
      </c>
      <c r="F641" s="1205" t="s">
        <v>1430</v>
      </c>
      <c r="G641" s="767"/>
      <c r="I641" s="1159" t="s">
        <v>1913</v>
      </c>
      <c r="J641" s="1159"/>
      <c r="K641" s="1137"/>
    </row>
    <row r="642" spans="1:11">
      <c r="A642" s="1130">
        <v>2</v>
      </c>
      <c r="B642" s="1207" t="s">
        <v>27</v>
      </c>
      <c r="C642" s="1517" t="s">
        <v>995</v>
      </c>
      <c r="D642" s="1517"/>
      <c r="E642" s="1206">
        <v>2005</v>
      </c>
      <c r="F642" s="1205" t="s">
        <v>1424</v>
      </c>
      <c r="G642" s="767"/>
      <c r="I642" s="1159" t="s">
        <v>1915</v>
      </c>
      <c r="J642" s="1160"/>
      <c r="K642" s="1160"/>
    </row>
    <row r="643" spans="1:11">
      <c r="A643" s="1130">
        <v>3</v>
      </c>
      <c r="B643" s="1207" t="s">
        <v>27</v>
      </c>
      <c r="C643" s="1205" t="s">
        <v>1359</v>
      </c>
      <c r="D643" s="1204"/>
      <c r="E643" s="1206">
        <v>2003</v>
      </c>
      <c r="F643" s="1205" t="s">
        <v>1431</v>
      </c>
      <c r="G643" s="767"/>
      <c r="I643" s="1159" t="s">
        <v>1916</v>
      </c>
      <c r="J643" s="1159"/>
      <c r="K643" s="1160"/>
    </row>
    <row r="644" spans="1:11">
      <c r="A644" s="1130">
        <v>4</v>
      </c>
      <c r="B644" s="1207" t="s">
        <v>27</v>
      </c>
      <c r="C644" s="1205" t="s">
        <v>1361</v>
      </c>
      <c r="D644" s="1204"/>
      <c r="E644" s="1206">
        <v>2004</v>
      </c>
      <c r="F644" s="1205" t="s">
        <v>1360</v>
      </c>
      <c r="G644" s="767"/>
      <c r="I644" s="1159" t="s">
        <v>1904</v>
      </c>
      <c r="J644" s="1159"/>
      <c r="K644" s="1137"/>
    </row>
    <row r="645" spans="1:11">
      <c r="A645" s="1130">
        <v>5</v>
      </c>
      <c r="B645" s="1207" t="s">
        <v>27</v>
      </c>
      <c r="C645" s="1205" t="s">
        <v>1423</v>
      </c>
      <c r="D645" s="1204"/>
      <c r="E645" s="1206">
        <v>2002</v>
      </c>
      <c r="F645" s="1205" t="s">
        <v>1431</v>
      </c>
      <c r="G645" s="767"/>
      <c r="I645" s="1159" t="s">
        <v>1911</v>
      </c>
      <c r="J645" s="1159"/>
      <c r="K645" s="1160"/>
    </row>
    <row r="646" spans="1:11">
      <c r="A646" s="1130">
        <v>6</v>
      </c>
      <c r="B646" s="1177" t="s">
        <v>15</v>
      </c>
      <c r="C646" s="1205" t="s">
        <v>1476</v>
      </c>
      <c r="D646" s="1157"/>
      <c r="E646" s="1206">
        <v>2001</v>
      </c>
      <c r="F646" s="1205" t="s">
        <v>1452</v>
      </c>
      <c r="G646" s="767"/>
      <c r="I646" s="1159" t="s">
        <v>1914</v>
      </c>
      <c r="J646" s="1160"/>
      <c r="K646" s="1160"/>
    </row>
    <row r="647" spans="1:11">
      <c r="A647" s="1130">
        <v>7</v>
      </c>
      <c r="B647" s="1207" t="s">
        <v>25</v>
      </c>
      <c r="C647" s="1205" t="s">
        <v>654</v>
      </c>
      <c r="D647" s="1204"/>
      <c r="E647" s="1206">
        <v>1999</v>
      </c>
      <c r="F647" s="1205" t="s">
        <v>1431</v>
      </c>
      <c r="G647" s="767"/>
      <c r="I647" s="1159" t="s">
        <v>1912</v>
      </c>
      <c r="J647" s="1159"/>
      <c r="K647" s="1196"/>
    </row>
    <row r="648" spans="1:11">
      <c r="A648" s="1130">
        <v>8</v>
      </c>
      <c r="B648" s="1168" t="s">
        <v>29</v>
      </c>
      <c r="C648" s="1205" t="s">
        <v>1404</v>
      </c>
      <c r="D648" s="1204"/>
      <c r="E648" s="1206">
        <v>2005</v>
      </c>
      <c r="F648" s="1205" t="s">
        <v>553</v>
      </c>
      <c r="G648" s="767"/>
      <c r="I648" s="1159" t="s">
        <v>1907</v>
      </c>
      <c r="J648" s="1159"/>
      <c r="K648" s="1160"/>
    </row>
    <row r="649" spans="1:11">
      <c r="A649" s="1130">
        <v>9</v>
      </c>
      <c r="B649" s="1207" t="s">
        <v>27</v>
      </c>
      <c r="C649" s="1205" t="s">
        <v>1403</v>
      </c>
      <c r="D649" s="1204"/>
      <c r="E649" s="1206">
        <v>1998</v>
      </c>
      <c r="F649" s="1205" t="s">
        <v>1431</v>
      </c>
      <c r="G649" s="767"/>
      <c r="I649" s="1159" t="s">
        <v>1908</v>
      </c>
      <c r="J649" s="1159"/>
      <c r="K649" s="1160"/>
    </row>
    <row r="650" spans="1:11">
      <c r="A650" s="1130">
        <v>10</v>
      </c>
      <c r="B650" s="1207" t="s">
        <v>27</v>
      </c>
      <c r="C650" s="1205" t="s">
        <v>1426</v>
      </c>
      <c r="D650" s="1204"/>
      <c r="E650" s="1206">
        <v>2000</v>
      </c>
      <c r="F650" s="1205" t="s">
        <v>1431</v>
      </c>
      <c r="G650" s="767"/>
      <c r="I650" s="1159" t="s">
        <v>1902</v>
      </c>
      <c r="J650" s="1159"/>
      <c r="K650" s="1160"/>
    </row>
    <row r="651" spans="1:11">
      <c r="A651" s="1130">
        <v>11</v>
      </c>
      <c r="B651" s="1207" t="s">
        <v>29</v>
      </c>
      <c r="C651" s="1205" t="s">
        <v>1362</v>
      </c>
      <c r="D651" s="1204"/>
      <c r="E651" s="1206">
        <v>2004</v>
      </c>
      <c r="F651" s="1205" t="s">
        <v>1360</v>
      </c>
      <c r="G651" s="767"/>
      <c r="I651" s="1159" t="s">
        <v>1898</v>
      </c>
      <c r="J651" s="1159"/>
      <c r="K651" s="1160"/>
    </row>
    <row r="652" spans="1:11">
      <c r="A652" s="1130">
        <v>12</v>
      </c>
      <c r="B652" s="1168" t="s">
        <v>29</v>
      </c>
      <c r="C652" s="1205" t="s">
        <v>1363</v>
      </c>
      <c r="D652" s="1204"/>
      <c r="E652" s="1206">
        <v>2005</v>
      </c>
      <c r="F652" s="1205" t="s">
        <v>553</v>
      </c>
      <c r="G652" s="767"/>
      <c r="I652" s="1159" t="s">
        <v>1909</v>
      </c>
      <c r="J652" s="1159"/>
      <c r="K652" s="1160"/>
    </row>
    <row r="653" spans="1:11">
      <c r="A653" s="1130">
        <v>13</v>
      </c>
      <c r="B653" s="1168" t="s">
        <v>29</v>
      </c>
      <c r="C653" s="1205" t="s">
        <v>1488</v>
      </c>
      <c r="D653" s="1204"/>
      <c r="E653" s="1206">
        <v>2005</v>
      </c>
      <c r="F653" s="1205" t="s">
        <v>553</v>
      </c>
      <c r="G653" s="767"/>
      <c r="I653" s="1159" t="s">
        <v>1903</v>
      </c>
      <c r="J653" s="1159"/>
      <c r="K653" s="1137"/>
    </row>
    <row r="654" spans="1:11">
      <c r="A654" s="1130">
        <v>14</v>
      </c>
      <c r="B654" s="1207" t="s">
        <v>29</v>
      </c>
      <c r="C654" s="1205" t="s">
        <v>1414</v>
      </c>
      <c r="D654" s="1204"/>
      <c r="E654" s="1206">
        <v>2001</v>
      </c>
      <c r="F654" s="1205" t="s">
        <v>1433</v>
      </c>
      <c r="G654" s="767"/>
      <c r="I654" s="1159" t="s">
        <v>1899</v>
      </c>
      <c r="J654" s="1159"/>
      <c r="K654" s="1160"/>
    </row>
    <row r="655" spans="1:11">
      <c r="A655" s="1130">
        <v>15</v>
      </c>
      <c r="B655" s="1207" t="s">
        <v>29</v>
      </c>
      <c r="C655" s="1205" t="s">
        <v>1422</v>
      </c>
      <c r="D655" s="1204"/>
      <c r="E655" s="1206">
        <v>2004</v>
      </c>
      <c r="F655" s="1205" t="s">
        <v>1448</v>
      </c>
      <c r="G655" s="767"/>
      <c r="I655" s="1159" t="s">
        <v>1901</v>
      </c>
      <c r="J655" s="1159"/>
      <c r="K655" s="1160"/>
    </row>
    <row r="656" spans="1:11">
      <c r="A656" s="1130">
        <v>16</v>
      </c>
      <c r="B656" s="1207" t="s">
        <v>1</v>
      </c>
      <c r="C656" s="1205" t="s">
        <v>1412</v>
      </c>
      <c r="D656" s="1204"/>
      <c r="E656" s="1206">
        <v>2006</v>
      </c>
      <c r="F656" s="1205" t="s">
        <v>1372</v>
      </c>
      <c r="G656" s="767"/>
      <c r="I656" s="1159" t="s">
        <v>1896</v>
      </c>
      <c r="J656" s="1159"/>
      <c r="K656" s="1441"/>
    </row>
    <row r="657" spans="1:11">
      <c r="A657" s="1130">
        <v>17</v>
      </c>
      <c r="B657" s="1207" t="s">
        <v>1</v>
      </c>
      <c r="C657" s="1205" t="s">
        <v>1432</v>
      </c>
      <c r="D657" s="1204"/>
      <c r="E657" s="1206">
        <v>2003</v>
      </c>
      <c r="F657" s="1205" t="s">
        <v>1431</v>
      </c>
      <c r="G657" s="767"/>
      <c r="I657" s="1159" t="s">
        <v>1900</v>
      </c>
      <c r="J657" s="1159"/>
      <c r="K657" s="1203" t="s">
        <v>12</v>
      </c>
    </row>
    <row r="659" spans="1:11">
      <c r="A659" s="1130"/>
      <c r="B659" s="1207"/>
      <c r="C659" s="524" t="s">
        <v>1839</v>
      </c>
      <c r="D659" s="542"/>
      <c r="E659" s="542"/>
      <c r="F659" s="542"/>
      <c r="G659" s="542"/>
      <c r="I659" s="1159"/>
      <c r="J659" s="766"/>
      <c r="K659" s="1160"/>
    </row>
    <row r="660" spans="1:11" ht="18">
      <c r="A660" s="1130"/>
      <c r="B660" s="1207"/>
      <c r="C660" s="1205"/>
      <c r="D660" s="1204"/>
      <c r="E660" s="1129"/>
      <c r="F660" s="1205"/>
      <c r="G660" s="767"/>
      <c r="I660" s="1159"/>
      <c r="J660" s="766"/>
      <c r="K660" s="1160"/>
    </row>
    <row r="661" spans="1:11">
      <c r="A661" s="1130">
        <v>1</v>
      </c>
      <c r="B661" s="1207" t="s">
        <v>27</v>
      </c>
      <c r="C661" s="1205" t="s">
        <v>1381</v>
      </c>
      <c r="D661" s="1204"/>
      <c r="E661" s="1206">
        <v>2005</v>
      </c>
      <c r="F661" s="1205" t="s">
        <v>1360</v>
      </c>
      <c r="G661" s="767"/>
      <c r="I661" s="1159" t="s">
        <v>1945</v>
      </c>
      <c r="J661" s="1159"/>
      <c r="K661" s="1156"/>
    </row>
    <row r="662" spans="1:11">
      <c r="A662" s="1130">
        <v>2</v>
      </c>
      <c r="B662" s="1202" t="s">
        <v>27</v>
      </c>
      <c r="C662" s="1205" t="s">
        <v>1349</v>
      </c>
      <c r="D662" s="1204"/>
      <c r="E662" s="1206">
        <v>2003</v>
      </c>
      <c r="F662" s="1205" t="s">
        <v>1431</v>
      </c>
      <c r="G662" s="767"/>
      <c r="I662" s="1159" t="s">
        <v>1945</v>
      </c>
      <c r="J662" s="1159"/>
      <c r="K662" s="1210"/>
    </row>
    <row r="663" spans="1:11">
      <c r="A663" s="1130">
        <v>3</v>
      </c>
      <c r="B663" s="1207" t="s">
        <v>23</v>
      </c>
      <c r="C663" s="1169" t="s">
        <v>1380</v>
      </c>
      <c r="D663" s="1189"/>
      <c r="E663" s="1206">
        <v>1995</v>
      </c>
      <c r="F663" s="1205" t="s">
        <v>1431</v>
      </c>
      <c r="G663" s="767"/>
      <c r="I663" s="1159" t="s">
        <v>1943</v>
      </c>
      <c r="J663" s="1159"/>
      <c r="K663" s="1159"/>
    </row>
    <row r="664" spans="1:11">
      <c r="A664" s="1130">
        <v>4</v>
      </c>
      <c r="B664" s="1207" t="s">
        <v>25</v>
      </c>
      <c r="C664" s="1205" t="s">
        <v>1516</v>
      </c>
      <c r="D664" s="1204"/>
      <c r="E664" s="1206">
        <v>1997</v>
      </c>
      <c r="F664" s="1205" t="s">
        <v>1360</v>
      </c>
      <c r="G664" s="767"/>
      <c r="I664" s="1159" t="s">
        <v>1944</v>
      </c>
      <c r="J664" s="1159"/>
      <c r="K664" s="1159"/>
    </row>
    <row r="665" spans="1:11">
      <c r="A665" s="1130">
        <v>5</v>
      </c>
      <c r="B665" s="1168" t="s">
        <v>27</v>
      </c>
      <c r="C665" s="1205" t="s">
        <v>1523</v>
      </c>
      <c r="D665" s="1204"/>
      <c r="E665" s="1206">
        <v>1997</v>
      </c>
      <c r="F665" s="1205" t="s">
        <v>553</v>
      </c>
      <c r="G665" s="767"/>
      <c r="I665" s="1159" t="s">
        <v>1940</v>
      </c>
      <c r="J665" s="1159"/>
      <c r="K665" s="1209"/>
    </row>
    <row r="666" spans="1:11">
      <c r="A666" s="1130">
        <v>6</v>
      </c>
      <c r="B666" s="1207" t="s">
        <v>27</v>
      </c>
      <c r="C666" s="1205" t="s">
        <v>1408</v>
      </c>
      <c r="D666" s="1204"/>
      <c r="E666" s="1206">
        <v>2001</v>
      </c>
      <c r="F666" s="1205" t="s">
        <v>1431</v>
      </c>
      <c r="G666" s="767"/>
      <c r="I666" s="1159" t="s">
        <v>1946</v>
      </c>
      <c r="J666" s="1159"/>
      <c r="K666" s="1208"/>
    </row>
    <row r="667" spans="1:11">
      <c r="A667" s="1130">
        <v>7</v>
      </c>
      <c r="B667" s="1207" t="s">
        <v>27</v>
      </c>
      <c r="C667" s="1205" t="s">
        <v>627</v>
      </c>
      <c r="D667" s="1204"/>
      <c r="E667" s="1206">
        <v>1997</v>
      </c>
      <c r="F667" s="1205" t="s">
        <v>1844</v>
      </c>
      <c r="G667" s="767"/>
      <c r="I667" s="1159" t="s">
        <v>1939</v>
      </c>
      <c r="J667" s="1159"/>
      <c r="K667" s="1210"/>
    </row>
    <row r="668" spans="1:11">
      <c r="A668" s="1130">
        <v>8</v>
      </c>
      <c r="B668" s="1207" t="s">
        <v>29</v>
      </c>
      <c r="C668" s="1205" t="s">
        <v>1376</v>
      </c>
      <c r="D668" s="1204"/>
      <c r="E668" s="1206">
        <v>2006</v>
      </c>
      <c r="F668" s="1330" t="s">
        <v>1448</v>
      </c>
      <c r="G668" s="1192"/>
      <c r="I668" s="1159" t="s">
        <v>1935</v>
      </c>
      <c r="J668" s="1162"/>
      <c r="K668" s="1160"/>
    </row>
    <row r="669" spans="1:11">
      <c r="A669" s="1130">
        <v>9</v>
      </c>
      <c r="B669" s="1207" t="s">
        <v>29</v>
      </c>
      <c r="C669" s="1205" t="s">
        <v>1496</v>
      </c>
      <c r="D669" s="1204"/>
      <c r="E669" s="1206">
        <v>2001</v>
      </c>
      <c r="F669" s="1205" t="s">
        <v>1431</v>
      </c>
      <c r="G669" s="767"/>
      <c r="I669" s="1159" t="s">
        <v>1942</v>
      </c>
      <c r="J669" s="1159"/>
      <c r="K669" s="1159"/>
    </row>
    <row r="670" spans="1:11">
      <c r="A670" s="1130">
        <v>10</v>
      </c>
      <c r="B670" s="1168" t="s">
        <v>29</v>
      </c>
      <c r="C670" s="1205" t="s">
        <v>1384</v>
      </c>
      <c r="D670" s="1204"/>
      <c r="E670" s="1206">
        <v>2004</v>
      </c>
      <c r="F670" s="1205" t="s">
        <v>553</v>
      </c>
      <c r="G670" s="767"/>
      <c r="I670" s="1159" t="s">
        <v>1934</v>
      </c>
      <c r="J670" s="1159"/>
      <c r="K670" s="1133"/>
    </row>
    <row r="671" spans="1:11">
      <c r="A671" s="1130">
        <v>11</v>
      </c>
      <c r="B671" s="1207" t="s">
        <v>27</v>
      </c>
      <c r="C671" s="1205" t="s">
        <v>1374</v>
      </c>
      <c r="D671" s="1204"/>
      <c r="E671" s="1206">
        <v>2003</v>
      </c>
      <c r="F671" s="1205" t="s">
        <v>1431</v>
      </c>
      <c r="G671" s="767"/>
      <c r="I671" s="1159" t="s">
        <v>1890</v>
      </c>
      <c r="J671" s="1159"/>
      <c r="K671" s="1160"/>
    </row>
    <row r="672" spans="1:11">
      <c r="A672" s="1130">
        <v>12</v>
      </c>
      <c r="B672" s="1207" t="s">
        <v>27</v>
      </c>
      <c r="C672" s="1205" t="s">
        <v>1417</v>
      </c>
      <c r="D672" s="1204"/>
      <c r="E672" s="1206">
        <v>2003</v>
      </c>
      <c r="F672" s="1205" t="s">
        <v>1433</v>
      </c>
      <c r="G672" s="767"/>
      <c r="I672" s="1159" t="s">
        <v>1938</v>
      </c>
      <c r="J672" s="1159"/>
      <c r="K672" s="1160"/>
    </row>
    <row r="673" spans="1:11">
      <c r="A673" s="1130">
        <v>13</v>
      </c>
      <c r="B673" s="1207" t="s">
        <v>29</v>
      </c>
      <c r="C673" s="1205" t="s">
        <v>1385</v>
      </c>
      <c r="D673" s="1204"/>
      <c r="E673" s="1206">
        <v>2003</v>
      </c>
      <c r="F673" s="1205" t="s">
        <v>1538</v>
      </c>
      <c r="G673" s="767"/>
      <c r="I673" s="1159" t="s">
        <v>1928</v>
      </c>
      <c r="J673" s="1159"/>
      <c r="K673" s="538"/>
    </row>
    <row r="674" spans="1:11">
      <c r="A674" s="1130">
        <v>14</v>
      </c>
      <c r="B674" s="1207" t="s">
        <v>29</v>
      </c>
      <c r="C674" s="1157" t="s">
        <v>1382</v>
      </c>
      <c r="D674" s="1204"/>
      <c r="E674" s="1206">
        <v>2005</v>
      </c>
      <c r="F674" s="1205" t="s">
        <v>1843</v>
      </c>
      <c r="G674" s="767"/>
      <c r="I674" s="1159" t="s">
        <v>1932</v>
      </c>
      <c r="J674" s="1159"/>
      <c r="K674" s="1160"/>
    </row>
    <row r="675" spans="1:11">
      <c r="A675" s="1130">
        <v>15</v>
      </c>
      <c r="B675" s="1207" t="s">
        <v>13</v>
      </c>
      <c r="C675" s="1205" t="s">
        <v>1420</v>
      </c>
      <c r="D675" s="1204"/>
      <c r="E675" s="1206">
        <v>2002</v>
      </c>
      <c r="F675" s="1205" t="s">
        <v>1433</v>
      </c>
      <c r="G675" s="767"/>
      <c r="I675" s="1159" t="s">
        <v>1927</v>
      </c>
      <c r="J675" s="1159"/>
      <c r="K675" s="538"/>
    </row>
    <row r="676" spans="1:11">
      <c r="A676" s="1130">
        <v>16</v>
      </c>
      <c r="B676" s="1207" t="s">
        <v>1</v>
      </c>
      <c r="C676" s="1205" t="s">
        <v>1514</v>
      </c>
      <c r="D676" s="1204" t="s">
        <v>433</v>
      </c>
      <c r="E676" s="1206">
        <v>2005</v>
      </c>
      <c r="F676" s="1205" t="s">
        <v>1445</v>
      </c>
      <c r="G676" s="767"/>
      <c r="I676" s="1159" t="s">
        <v>1937</v>
      </c>
      <c r="J676" s="1159"/>
      <c r="K676" s="1160"/>
    </row>
    <row r="677" spans="1:11">
      <c r="A677" s="1130">
        <v>17</v>
      </c>
      <c r="B677" s="1207" t="s">
        <v>1</v>
      </c>
      <c r="C677" s="1205" t="s">
        <v>1407</v>
      </c>
      <c r="D677" s="1204"/>
      <c r="E677" s="1206">
        <v>2005</v>
      </c>
      <c r="F677" s="1205" t="s">
        <v>553</v>
      </c>
      <c r="G677" s="767"/>
      <c r="I677" s="1159" t="s">
        <v>1919</v>
      </c>
      <c r="J677" s="1159"/>
      <c r="K677" s="538"/>
    </row>
    <row r="678" spans="1:11">
      <c r="A678" s="1130">
        <v>18</v>
      </c>
      <c r="B678" s="1207" t="s">
        <v>1</v>
      </c>
      <c r="C678" s="1205" t="s">
        <v>1497</v>
      </c>
      <c r="D678" s="1204"/>
      <c r="E678" s="1206">
        <v>2002</v>
      </c>
      <c r="F678" s="1205" t="s">
        <v>1431</v>
      </c>
      <c r="G678" s="767"/>
      <c r="I678" s="1159" t="s">
        <v>1931</v>
      </c>
      <c r="J678" s="1159"/>
      <c r="K678" s="1203" t="s">
        <v>12</v>
      </c>
    </row>
    <row r="679" spans="1:11">
      <c r="A679" s="1130">
        <v>19</v>
      </c>
      <c r="B679" s="1207" t="s">
        <v>1</v>
      </c>
      <c r="C679" s="1205" t="s">
        <v>1405</v>
      </c>
      <c r="D679" s="1204"/>
      <c r="E679" s="1206">
        <v>2004</v>
      </c>
      <c r="F679" s="1205" t="s">
        <v>553</v>
      </c>
      <c r="G679" s="767"/>
      <c r="I679" s="1159" t="s">
        <v>1921</v>
      </c>
      <c r="J679" s="1159"/>
      <c r="K679" s="538"/>
    </row>
    <row r="680" spans="1:11">
      <c r="A680" s="1130">
        <v>20</v>
      </c>
      <c r="B680" s="1207" t="s">
        <v>1</v>
      </c>
      <c r="C680" s="1205" t="s">
        <v>1500</v>
      </c>
      <c r="D680" s="1204"/>
      <c r="E680" s="1206">
        <v>2003</v>
      </c>
      <c r="F680" s="1205" t="s">
        <v>1431</v>
      </c>
      <c r="G680" s="767"/>
      <c r="I680" s="1159" t="s">
        <v>1918</v>
      </c>
      <c r="J680" s="1160"/>
      <c r="K680" s="1203" t="s">
        <v>12</v>
      </c>
    </row>
    <row r="681" spans="1:11">
      <c r="A681" s="1130">
        <v>21</v>
      </c>
      <c r="B681" s="1207" t="s">
        <v>1</v>
      </c>
      <c r="C681" s="1205" t="s">
        <v>1513</v>
      </c>
      <c r="D681" s="1204"/>
      <c r="E681" s="1206">
        <v>2005</v>
      </c>
      <c r="F681" s="1205" t="s">
        <v>1445</v>
      </c>
      <c r="G681" s="767"/>
      <c r="I681" s="1159" t="s">
        <v>1906</v>
      </c>
      <c r="J681" s="1159"/>
      <c r="K681" s="538"/>
    </row>
    <row r="682" spans="1:11">
      <c r="A682" s="1130">
        <v>22</v>
      </c>
      <c r="B682" s="1207" t="s">
        <v>13</v>
      </c>
      <c r="C682" s="1205" t="s">
        <v>1418</v>
      </c>
      <c r="D682" s="1204"/>
      <c r="E682" s="1206">
        <v>2004</v>
      </c>
      <c r="F682" s="1205" t="s">
        <v>1842</v>
      </c>
      <c r="G682" s="767"/>
      <c r="I682" s="1159" t="s">
        <v>1924</v>
      </c>
      <c r="J682" s="1159"/>
      <c r="K682" s="538"/>
    </row>
    <row r="683" spans="1:11">
      <c r="A683" s="1130">
        <v>23</v>
      </c>
      <c r="B683" s="1207" t="s">
        <v>13</v>
      </c>
      <c r="C683" s="1205" t="s">
        <v>1411</v>
      </c>
      <c r="D683" s="1204"/>
      <c r="E683" s="1206">
        <v>2005</v>
      </c>
      <c r="F683" s="1205" t="s">
        <v>1841</v>
      </c>
      <c r="G683" s="767"/>
      <c r="I683" s="1159" t="s">
        <v>1923</v>
      </c>
      <c r="J683" s="1159"/>
      <c r="K683" s="538"/>
    </row>
    <row r="684" spans="1:11">
      <c r="A684" s="1130">
        <v>24</v>
      </c>
      <c r="B684" s="1207" t="s">
        <v>1</v>
      </c>
      <c r="C684" s="1205" t="s">
        <v>1419</v>
      </c>
      <c r="D684" s="1204"/>
      <c r="E684" s="1206">
        <v>2005</v>
      </c>
      <c r="F684" s="1205" t="s">
        <v>1445</v>
      </c>
      <c r="G684" s="767"/>
      <c r="I684" s="1159" t="s">
        <v>1933</v>
      </c>
      <c r="J684" s="1159"/>
      <c r="K684" s="1196"/>
    </row>
    <row r="685" spans="1:11">
      <c r="A685" s="1130">
        <v>25</v>
      </c>
      <c r="B685" s="1158" t="s">
        <v>29</v>
      </c>
      <c r="C685" s="1154" t="s">
        <v>1510</v>
      </c>
      <c r="D685" s="1204"/>
      <c r="E685" s="1188">
        <v>2003</v>
      </c>
      <c r="F685" s="1205" t="s">
        <v>1511</v>
      </c>
      <c r="G685" s="767"/>
      <c r="I685" s="1159" t="s">
        <v>1936</v>
      </c>
      <c r="J685" s="1162"/>
      <c r="K685" s="1160"/>
    </row>
    <row r="686" spans="1:11">
      <c r="A686" s="1130">
        <v>26</v>
      </c>
      <c r="B686" s="1207" t="s">
        <v>1</v>
      </c>
      <c r="C686" s="1205" t="s">
        <v>1410</v>
      </c>
      <c r="D686" s="1204"/>
      <c r="E686" s="1206">
        <v>2005</v>
      </c>
      <c r="F686" s="1205" t="s">
        <v>1840</v>
      </c>
      <c r="G686" s="767"/>
      <c r="I686" s="1159" t="s">
        <v>1922</v>
      </c>
      <c r="J686" s="1159"/>
      <c r="K686" s="538"/>
    </row>
    <row r="687" spans="1:11">
      <c r="A687" s="1130">
        <v>27</v>
      </c>
      <c r="B687" s="1168">
        <v>2</v>
      </c>
      <c r="C687" s="1205" t="s">
        <v>1521</v>
      </c>
      <c r="D687" s="1204"/>
      <c r="E687" s="1206">
        <v>2006</v>
      </c>
      <c r="F687" s="1205" t="s">
        <v>553</v>
      </c>
      <c r="G687" s="767"/>
      <c r="I687" s="1159" t="s">
        <v>1929</v>
      </c>
      <c r="J687" s="1159"/>
      <c r="K687" s="538"/>
    </row>
    <row r="688" spans="1:11">
      <c r="A688" s="1130">
        <v>28</v>
      </c>
      <c r="B688" s="1207" t="s">
        <v>1</v>
      </c>
      <c r="C688" s="1205" t="s">
        <v>1515</v>
      </c>
      <c r="D688" s="1204" t="s">
        <v>433</v>
      </c>
      <c r="E688" s="1206">
        <v>2004</v>
      </c>
      <c r="F688" s="1205" t="s">
        <v>1445</v>
      </c>
      <c r="G688" s="767"/>
      <c r="I688" s="1159" t="s">
        <v>1925</v>
      </c>
      <c r="J688" s="1159"/>
      <c r="K688" s="538"/>
    </row>
    <row r="689" spans="1:11">
      <c r="A689" s="1130">
        <v>29</v>
      </c>
      <c r="B689" s="1207" t="s">
        <v>13</v>
      </c>
      <c r="C689" s="1205" t="s">
        <v>1499</v>
      </c>
      <c r="D689" s="1204"/>
      <c r="E689" s="1206">
        <v>2003</v>
      </c>
      <c r="F689" s="1205" t="s">
        <v>1431</v>
      </c>
      <c r="G689" s="767"/>
      <c r="I689" s="1159" t="s">
        <v>1920</v>
      </c>
      <c r="J689" s="1159"/>
      <c r="K689" s="1203" t="s">
        <v>12</v>
      </c>
    </row>
    <row r="690" spans="1:11">
      <c r="A690" s="1130"/>
      <c r="B690" s="1207" t="s">
        <v>27</v>
      </c>
      <c r="C690" s="1205" t="s">
        <v>1501</v>
      </c>
      <c r="D690" s="1204"/>
      <c r="E690" s="1206">
        <v>1998</v>
      </c>
      <c r="F690" s="1205" t="s">
        <v>1431</v>
      </c>
      <c r="G690" s="767"/>
      <c r="I690" s="1159" t="s">
        <v>1622</v>
      </c>
      <c r="J690" s="1159"/>
      <c r="K690" s="1203" t="s">
        <v>12</v>
      </c>
    </row>
    <row r="692" spans="1:11">
      <c r="A692" s="1130"/>
      <c r="B692" s="1168"/>
      <c r="C692" s="524" t="s">
        <v>1845</v>
      </c>
      <c r="D692" s="525"/>
      <c r="E692" s="526"/>
      <c r="F692" s="524"/>
      <c r="G692" s="524"/>
      <c r="I692" s="1159"/>
      <c r="J692" s="766"/>
      <c r="K692" s="1159"/>
    </row>
    <row r="693" spans="1:11">
      <c r="A693" s="1130"/>
      <c r="B693" s="1207"/>
      <c r="C693" s="1205"/>
      <c r="D693" s="1204"/>
      <c r="E693" s="1206"/>
      <c r="F693" s="1205"/>
      <c r="G693" s="767"/>
      <c r="I693" s="1159"/>
      <c r="J693" s="1163"/>
      <c r="K693" s="1163"/>
    </row>
    <row r="694" spans="1:11">
      <c r="A694" s="1130">
        <v>1</v>
      </c>
      <c r="B694" s="1207" t="s">
        <v>27</v>
      </c>
      <c r="C694" s="1205" t="s">
        <v>595</v>
      </c>
      <c r="D694" s="1204"/>
      <c r="E694" s="1206">
        <v>2000</v>
      </c>
      <c r="F694" s="1330" t="s">
        <v>1431</v>
      </c>
      <c r="G694" s="766"/>
      <c r="I694" s="1159" t="s">
        <v>1948</v>
      </c>
      <c r="J694" s="1160"/>
      <c r="K694" s="1159"/>
    </row>
    <row r="695" spans="1:11">
      <c r="A695" s="1130">
        <v>2</v>
      </c>
      <c r="B695" s="1168" t="s">
        <v>29</v>
      </c>
      <c r="C695" s="1205" t="s">
        <v>1014</v>
      </c>
      <c r="D695" s="1204"/>
      <c r="E695" s="1206">
        <v>2006</v>
      </c>
      <c r="F695" s="1330" t="s">
        <v>553</v>
      </c>
      <c r="G695" s="766"/>
      <c r="I695" s="1159" t="s">
        <v>1951</v>
      </c>
      <c r="J695" s="1160"/>
      <c r="K695" s="1210"/>
    </row>
    <row r="696" spans="1:11">
      <c r="A696" s="1130">
        <v>3</v>
      </c>
      <c r="B696" s="1207" t="s">
        <v>1</v>
      </c>
      <c r="C696" s="1205" t="s">
        <v>1435</v>
      </c>
      <c r="D696" s="1204"/>
      <c r="E696" s="1206">
        <v>2003</v>
      </c>
      <c r="F696" s="1330" t="s">
        <v>1433</v>
      </c>
      <c r="G696" s="766"/>
      <c r="I696" s="1159" t="s">
        <v>1947</v>
      </c>
      <c r="J696" s="1160"/>
      <c r="K696" s="1159"/>
    </row>
    <row r="697" spans="1:11">
      <c r="A697" s="1130">
        <v>4</v>
      </c>
      <c r="B697" s="1207" t="s">
        <v>1</v>
      </c>
      <c r="C697" s="1205" t="s">
        <v>1364</v>
      </c>
      <c r="D697" s="1204"/>
      <c r="E697" s="1206">
        <v>2000</v>
      </c>
      <c r="F697" s="1330" t="s">
        <v>1433</v>
      </c>
      <c r="G697" s="766"/>
      <c r="I697" s="1159" t="s">
        <v>1954</v>
      </c>
      <c r="J697" s="1160"/>
      <c r="K697" s="1210"/>
    </row>
    <row r="698" spans="1:11">
      <c r="A698" s="1130"/>
      <c r="B698" s="1207"/>
      <c r="C698" s="1205"/>
      <c r="D698" s="1204"/>
      <c r="E698" s="1206"/>
      <c r="F698" s="1330"/>
      <c r="G698" s="1448"/>
      <c r="I698" s="1159"/>
      <c r="J698" s="1160"/>
      <c r="K698" s="1210"/>
    </row>
    <row r="699" spans="1:11">
      <c r="A699" s="1130"/>
      <c r="B699" s="1207"/>
      <c r="C699" s="524" t="s">
        <v>1846</v>
      </c>
      <c r="D699" s="525"/>
      <c r="E699" s="526"/>
      <c r="F699" s="524"/>
      <c r="G699" s="524"/>
      <c r="I699" s="1159"/>
      <c r="J699" s="1159"/>
      <c r="K699" s="1210"/>
    </row>
    <row r="700" spans="1:11">
      <c r="A700" s="1130"/>
      <c r="B700" s="1168"/>
      <c r="C700" s="1205"/>
      <c r="D700" s="1204"/>
      <c r="E700" s="1206"/>
      <c r="F700" s="1205"/>
      <c r="G700" s="767"/>
      <c r="I700" s="1159"/>
      <c r="J700" s="1159"/>
      <c r="K700" s="1210"/>
    </row>
    <row r="701" spans="1:11">
      <c r="A701" s="1130">
        <v>1</v>
      </c>
      <c r="B701" s="1207" t="s">
        <v>29</v>
      </c>
      <c r="C701" s="1205" t="s">
        <v>1531</v>
      </c>
      <c r="D701" s="1204"/>
      <c r="E701" s="1206">
        <v>2004</v>
      </c>
      <c r="F701" s="1330" t="s">
        <v>1448</v>
      </c>
      <c r="G701" s="766"/>
      <c r="I701" s="1159" t="s">
        <v>1957</v>
      </c>
      <c r="J701" s="1209"/>
      <c r="K701" s="1210"/>
    </row>
    <row r="702" spans="1:11">
      <c r="A702" s="1130">
        <v>2</v>
      </c>
      <c r="B702" s="1168" t="s">
        <v>29</v>
      </c>
      <c r="C702" s="1205" t="s">
        <v>1010</v>
      </c>
      <c r="D702" s="1204"/>
      <c r="E702" s="1206">
        <v>2006</v>
      </c>
      <c r="F702" s="1330" t="s">
        <v>553</v>
      </c>
      <c r="G702" s="766"/>
      <c r="I702" s="1159" t="s">
        <v>1958</v>
      </c>
      <c r="J702" s="1209"/>
      <c r="K702" s="1210"/>
    </row>
    <row r="703" spans="1:11">
      <c r="A703" s="1130">
        <v>3</v>
      </c>
      <c r="B703" s="1158" t="s">
        <v>29</v>
      </c>
      <c r="C703" s="1205" t="s">
        <v>1387</v>
      </c>
      <c r="D703" s="1204"/>
      <c r="E703" s="1206">
        <v>2004</v>
      </c>
      <c r="F703" s="1330" t="s">
        <v>1344</v>
      </c>
      <c r="G703" s="766"/>
      <c r="I703" s="1159" t="s">
        <v>1960</v>
      </c>
      <c r="J703" s="1156"/>
      <c r="K703" s="1210"/>
    </row>
    <row r="704" spans="1:11">
      <c r="A704" s="1130">
        <v>4</v>
      </c>
      <c r="B704" s="1207" t="s">
        <v>27</v>
      </c>
      <c r="C704" s="1205" t="s">
        <v>1388</v>
      </c>
      <c r="D704" s="1204"/>
      <c r="E704" s="1206">
        <v>2002</v>
      </c>
      <c r="F704" s="1330" t="s">
        <v>1431</v>
      </c>
      <c r="G704" s="766"/>
      <c r="I704" s="1159" t="s">
        <v>1959</v>
      </c>
      <c r="J704" s="1209"/>
      <c r="K704" s="1210"/>
    </row>
    <row r="705" spans="1:11">
      <c r="A705" s="1130">
        <v>5</v>
      </c>
      <c r="B705" s="1207" t="s">
        <v>29</v>
      </c>
      <c r="C705" s="1205" t="s">
        <v>1391</v>
      </c>
      <c r="D705" s="1193"/>
      <c r="E705" s="1206">
        <v>2003</v>
      </c>
      <c r="F705" s="1330" t="s">
        <v>1433</v>
      </c>
      <c r="G705" s="766"/>
      <c r="I705" s="1159" t="s">
        <v>1962</v>
      </c>
      <c r="J705" s="1209"/>
      <c r="K705" s="1210"/>
    </row>
    <row r="707" spans="1:11">
      <c r="A707" s="1484"/>
      <c r="B707" s="1485" t="s">
        <v>1986</v>
      </c>
      <c r="C707" s="1486"/>
      <c r="D707" s="1487"/>
      <c r="E707" s="1488"/>
      <c r="F707" s="1489"/>
      <c r="G707" s="294"/>
      <c r="I707" s="1159"/>
      <c r="J707" s="1295"/>
      <c r="K707" s="1295"/>
    </row>
    <row r="708" spans="1:11">
      <c r="A708" s="1210"/>
      <c r="B708" s="1210"/>
      <c r="C708" s="1210"/>
      <c r="D708" s="1210"/>
      <c r="E708" s="1210"/>
      <c r="F708" s="1210"/>
      <c r="G708" s="1210"/>
      <c r="I708" s="1159"/>
      <c r="J708" s="1210"/>
      <c r="K708" s="1210"/>
    </row>
    <row r="709" spans="1:11">
      <c r="A709" s="1335">
        <v>1</v>
      </c>
      <c r="B709" s="1440"/>
      <c r="C709" s="1475"/>
      <c r="D709" s="1476"/>
      <c r="E709" s="1477"/>
      <c r="F709" s="1478" t="s">
        <v>1360</v>
      </c>
      <c r="G709" s="1478"/>
      <c r="H709" s="1342"/>
      <c r="I709" s="1424" t="s">
        <v>1979</v>
      </c>
      <c r="J709" s="1382"/>
      <c r="K709" s="1384"/>
    </row>
    <row r="710" spans="1:11">
      <c r="A710" s="1130"/>
      <c r="B710" s="1453" t="s">
        <v>25</v>
      </c>
      <c r="C710" s="1455" t="s">
        <v>619</v>
      </c>
      <c r="D710" s="1185"/>
      <c r="E710" s="1334">
        <v>1995</v>
      </c>
      <c r="F710" s="1455"/>
      <c r="G710" s="1455"/>
      <c r="I710" s="1159">
        <v>16.53</v>
      </c>
      <c r="J710" s="1239"/>
      <c r="K710" s="126"/>
    </row>
    <row r="711" spans="1:11">
      <c r="A711" s="1130"/>
      <c r="B711" s="1453" t="s">
        <v>25</v>
      </c>
      <c r="C711" s="1455" t="s">
        <v>1413</v>
      </c>
      <c r="D711" s="1185"/>
      <c r="E711" s="1334">
        <v>1998</v>
      </c>
      <c r="F711" s="1455"/>
      <c r="G711" s="1452"/>
      <c r="I711" s="1159"/>
      <c r="J711" s="1239"/>
      <c r="K711" s="539"/>
    </row>
    <row r="712" spans="1:11">
      <c r="A712" s="1130"/>
      <c r="B712" s="1453" t="s">
        <v>23</v>
      </c>
      <c r="C712" s="1455" t="s">
        <v>552</v>
      </c>
      <c r="D712" s="1185"/>
      <c r="E712" s="1334">
        <v>1993</v>
      </c>
      <c r="F712" s="1454"/>
      <c r="G712" s="1455"/>
      <c r="I712" s="1159"/>
      <c r="J712" s="1239"/>
      <c r="K712" s="539"/>
    </row>
    <row r="713" spans="1:11">
      <c r="A713" s="1130"/>
      <c r="B713" s="1453" t="s">
        <v>25</v>
      </c>
      <c r="C713" s="1456" t="s">
        <v>1849</v>
      </c>
      <c r="D713" s="753"/>
      <c r="E713" s="1444">
        <v>1997</v>
      </c>
      <c r="F713" s="1455"/>
      <c r="G713" s="539"/>
      <c r="I713" s="1159"/>
      <c r="J713" s="539"/>
      <c r="K713" s="539"/>
    </row>
    <row r="714" spans="1:11">
      <c r="A714" s="1130"/>
      <c r="B714" s="539"/>
      <c r="C714" s="1455"/>
      <c r="D714" s="1185"/>
      <c r="E714" s="1334"/>
      <c r="F714" s="539"/>
      <c r="G714" s="1238"/>
      <c r="I714" s="1159"/>
      <c r="J714" s="539"/>
      <c r="K714" s="539"/>
    </row>
    <row r="715" spans="1:11">
      <c r="A715" s="1335">
        <v>2</v>
      </c>
      <c r="B715" s="1438"/>
      <c r="C715" s="1478"/>
      <c r="D715" s="1379"/>
      <c r="E715" s="1479"/>
      <c r="F715" s="1438" t="s">
        <v>553</v>
      </c>
      <c r="G715" s="1478"/>
      <c r="H715" s="1342"/>
      <c r="I715" s="1424" t="s">
        <v>1980</v>
      </c>
      <c r="J715" s="1480"/>
      <c r="K715" s="1382"/>
    </row>
    <row r="716" spans="1:11">
      <c r="A716" s="1130"/>
      <c r="B716" s="1236" t="s">
        <v>1</v>
      </c>
      <c r="C716" s="1455" t="s">
        <v>1472</v>
      </c>
      <c r="D716" s="1185"/>
      <c r="E716" s="1334">
        <v>2005</v>
      </c>
      <c r="F716" s="1455"/>
      <c r="G716" s="1238"/>
      <c r="I716" s="1159">
        <v>18.93</v>
      </c>
      <c r="J716" s="539"/>
      <c r="K716" s="1239"/>
    </row>
    <row r="717" spans="1:11">
      <c r="A717" s="1130"/>
      <c r="B717" s="1236" t="s">
        <v>29</v>
      </c>
      <c r="C717" s="1455" t="s">
        <v>1527</v>
      </c>
      <c r="D717" s="1185"/>
      <c r="E717" s="1334">
        <v>2005</v>
      </c>
      <c r="F717" s="1238"/>
      <c r="G717" s="542"/>
      <c r="I717" s="1159"/>
      <c r="J717" s="541"/>
      <c r="K717" s="1239"/>
    </row>
    <row r="718" spans="1:11">
      <c r="A718" s="1130"/>
      <c r="B718" s="1236" t="s">
        <v>29</v>
      </c>
      <c r="C718" s="287" t="s">
        <v>1014</v>
      </c>
      <c r="D718" s="1185"/>
      <c r="E718" s="1237">
        <v>2006</v>
      </c>
      <c r="F718" s="542"/>
      <c r="G718" s="1238"/>
      <c r="I718" s="1159"/>
      <c r="J718" s="539"/>
      <c r="K718" s="1239"/>
    </row>
    <row r="719" spans="1:11">
      <c r="A719" s="1130"/>
      <c r="B719" s="1236" t="s">
        <v>29</v>
      </c>
      <c r="C719" s="1332" t="s">
        <v>1474</v>
      </c>
      <c r="D719" s="542"/>
      <c r="E719" s="1458">
        <v>2006</v>
      </c>
      <c r="F719" s="1238"/>
      <c r="G719" s="1252"/>
      <c r="I719" s="1159"/>
      <c r="J719" s="539"/>
      <c r="K719" s="1241"/>
    </row>
    <row r="720" spans="1:11">
      <c r="A720" s="1130"/>
      <c r="B720" s="1236"/>
      <c r="C720" s="1332"/>
      <c r="D720" s="542"/>
      <c r="E720" s="1458"/>
      <c r="F720" s="1238"/>
      <c r="G720" s="1252"/>
      <c r="I720" s="1159"/>
      <c r="J720" s="539"/>
      <c r="K720" s="1241"/>
    </row>
    <row r="721" spans="1:11">
      <c r="A721" s="1335">
        <v>3</v>
      </c>
      <c r="B721" s="1377"/>
      <c r="C721" s="1378"/>
      <c r="D721" s="1379"/>
      <c r="E721" s="1380"/>
      <c r="F721" s="1377" t="s">
        <v>1554</v>
      </c>
      <c r="G721" s="1481"/>
      <c r="H721" s="1342"/>
      <c r="I721" s="1424" t="s">
        <v>1978</v>
      </c>
      <c r="J721" s="1382"/>
      <c r="K721" s="1384"/>
    </row>
    <row r="722" spans="1:11">
      <c r="A722" s="1130"/>
      <c r="B722" s="1236" t="s">
        <v>27</v>
      </c>
      <c r="C722" s="287" t="s">
        <v>1347</v>
      </c>
      <c r="D722" s="1185"/>
      <c r="E722" s="1237">
        <v>2003</v>
      </c>
      <c r="G722" s="1238"/>
      <c r="I722" s="1159">
        <v>19.7</v>
      </c>
      <c r="J722" s="1239"/>
      <c r="K722" s="539"/>
    </row>
    <row r="723" spans="1:11">
      <c r="A723" s="1130"/>
      <c r="B723" s="1236" t="s">
        <v>1</v>
      </c>
      <c r="C723" s="1332" t="s">
        <v>1025</v>
      </c>
      <c r="D723" s="531"/>
      <c r="E723" s="586">
        <v>2005</v>
      </c>
      <c r="F723" s="1238"/>
      <c r="G723" s="1238"/>
      <c r="I723" s="1159"/>
      <c r="J723" s="1239"/>
      <c r="K723" s="539"/>
    </row>
    <row r="724" spans="1:11">
      <c r="A724" s="1130"/>
      <c r="B724" s="1236" t="s">
        <v>1</v>
      </c>
      <c r="C724" s="287" t="s">
        <v>1469</v>
      </c>
      <c r="D724" s="1185"/>
      <c r="E724" s="1237">
        <v>2005</v>
      </c>
      <c r="F724" s="1238"/>
      <c r="G724" s="539"/>
      <c r="I724" s="1159"/>
      <c r="J724" s="539"/>
      <c r="K724" s="539"/>
    </row>
    <row r="725" spans="1:11">
      <c r="A725" s="1130"/>
      <c r="B725" s="1236" t="s">
        <v>27</v>
      </c>
      <c r="C725" s="1192" t="s">
        <v>1467</v>
      </c>
      <c r="D725" s="1185"/>
      <c r="E725" s="1237">
        <v>2004</v>
      </c>
      <c r="F725" s="1332"/>
      <c r="G725" s="1452"/>
      <c r="I725" s="1159"/>
      <c r="J725" s="1239"/>
      <c r="K725" s="539"/>
    </row>
    <row r="726" spans="1:11">
      <c r="A726" s="1130"/>
      <c r="B726" s="1453"/>
      <c r="C726" s="539"/>
      <c r="D726" s="539"/>
      <c r="E726" s="539"/>
      <c r="F726" s="1454"/>
      <c r="G726" s="1455"/>
      <c r="I726" s="1159"/>
      <c r="J726" s="1239"/>
      <c r="K726" s="539"/>
    </row>
    <row r="727" spans="1:11">
      <c r="A727" s="1335">
        <v>4</v>
      </c>
      <c r="B727" s="1377"/>
      <c r="C727" s="1384"/>
      <c r="D727" s="1384"/>
      <c r="E727" s="1384"/>
      <c r="F727" s="1482" t="s">
        <v>1703</v>
      </c>
      <c r="G727" s="1483"/>
      <c r="H727" s="1342"/>
      <c r="I727" s="1424" t="s">
        <v>1981</v>
      </c>
      <c r="J727" s="1384"/>
      <c r="K727" s="1384"/>
    </row>
    <row r="728" spans="1:11">
      <c r="A728" s="1130"/>
      <c r="B728" s="1235" t="s">
        <v>29</v>
      </c>
      <c r="C728" s="1238" t="s">
        <v>1742</v>
      </c>
      <c r="D728" s="1238"/>
      <c r="E728" s="1235">
        <v>2003</v>
      </c>
      <c r="F728" s="539"/>
      <c r="G728" s="1455"/>
      <c r="I728" s="1159">
        <v>18.63</v>
      </c>
      <c r="J728" s="539"/>
      <c r="K728" s="539"/>
    </row>
    <row r="729" spans="1:11">
      <c r="A729" s="1130"/>
      <c r="B729" s="1453" t="s">
        <v>27</v>
      </c>
      <c r="C729" s="1252" t="s">
        <v>668</v>
      </c>
      <c r="D729" s="1252"/>
      <c r="E729" s="1235">
        <v>2004</v>
      </c>
      <c r="F729" s="1455"/>
      <c r="G729" s="1455"/>
      <c r="I729" s="1159"/>
      <c r="J729" s="539"/>
      <c r="K729" s="539"/>
    </row>
    <row r="730" spans="1:11">
      <c r="A730" s="1130"/>
      <c r="B730" s="586" t="s">
        <v>29</v>
      </c>
      <c r="C730" s="1455" t="s">
        <v>1441</v>
      </c>
      <c r="D730" s="1185"/>
      <c r="E730" s="1334">
        <v>2003</v>
      </c>
      <c r="F730" s="1455"/>
      <c r="G730" s="1455"/>
      <c r="I730" s="1159"/>
      <c r="J730" s="539"/>
      <c r="K730" s="539"/>
    </row>
    <row r="731" spans="1:11">
      <c r="A731" s="1130"/>
      <c r="B731" s="1142" t="s">
        <v>29</v>
      </c>
      <c r="C731" s="1455" t="s">
        <v>1531</v>
      </c>
      <c r="D731" s="1185"/>
      <c r="E731" s="1334">
        <v>2004</v>
      </c>
      <c r="F731" s="1263"/>
      <c r="G731" s="1455"/>
      <c r="I731" s="1159"/>
      <c r="J731" s="539"/>
      <c r="K731" s="539"/>
    </row>
    <row r="732" spans="1:11">
      <c r="A732" s="1130"/>
      <c r="B732" s="1142"/>
      <c r="C732" s="1455"/>
      <c r="D732" s="1185"/>
      <c r="E732" s="1334"/>
      <c r="F732" s="1263"/>
      <c r="G732" s="1455"/>
      <c r="I732" s="1159"/>
      <c r="J732" s="539"/>
      <c r="K732" s="539"/>
    </row>
    <row r="733" spans="1:11">
      <c r="A733" s="1335">
        <v>5</v>
      </c>
      <c r="B733" s="1377"/>
      <c r="C733" s="1378"/>
      <c r="D733" s="1379"/>
      <c r="E733" s="1380"/>
      <c r="F733" s="1377" t="s">
        <v>1847</v>
      </c>
      <c r="G733" s="1481"/>
      <c r="H733" s="1342"/>
      <c r="I733" s="1394" t="s">
        <v>1982</v>
      </c>
      <c r="J733" s="1382"/>
      <c r="K733" s="1384"/>
    </row>
    <row r="734" spans="1:11">
      <c r="A734" s="1130"/>
      <c r="B734" s="1236" t="s">
        <v>29</v>
      </c>
      <c r="C734" s="1192" t="s">
        <v>1384</v>
      </c>
      <c r="D734" s="1185"/>
      <c r="E734" s="1237">
        <v>2004</v>
      </c>
      <c r="F734" s="1332"/>
      <c r="G734" s="1238"/>
      <c r="I734" s="1136">
        <v>19.149999999999999</v>
      </c>
      <c r="J734" s="1239"/>
      <c r="K734" s="539"/>
    </row>
    <row r="735" spans="1:11">
      <c r="A735" s="1130"/>
      <c r="B735" s="1236" t="s">
        <v>29</v>
      </c>
      <c r="C735" s="1332" t="s">
        <v>1366</v>
      </c>
      <c r="D735" s="531"/>
      <c r="E735" s="586">
        <v>2006</v>
      </c>
      <c r="F735" s="1238"/>
      <c r="G735" s="1238"/>
      <c r="I735" s="1159"/>
      <c r="J735" s="1239"/>
      <c r="K735" s="539"/>
    </row>
    <row r="736" spans="1:11">
      <c r="A736" s="1130"/>
      <c r="B736" s="586" t="s">
        <v>29</v>
      </c>
      <c r="C736" s="287" t="s">
        <v>1848</v>
      </c>
      <c r="D736" s="1185"/>
      <c r="E736" s="1237">
        <v>2006</v>
      </c>
      <c r="F736" s="1238"/>
      <c r="G736" s="539"/>
      <c r="I736" s="1159"/>
      <c r="J736" s="539"/>
      <c r="K736" s="539"/>
    </row>
    <row r="737" spans="1:11">
      <c r="A737" s="1130"/>
      <c r="B737" s="1236" t="s">
        <v>1</v>
      </c>
      <c r="C737" s="287" t="s">
        <v>1405</v>
      </c>
      <c r="D737" s="1185"/>
      <c r="E737" s="1237">
        <v>2004</v>
      </c>
      <c r="F737" s="539"/>
      <c r="G737" s="1452"/>
      <c r="I737" s="1159"/>
      <c r="J737" s="1239"/>
      <c r="K737" s="539"/>
    </row>
    <row r="738" spans="1:11">
      <c r="A738" s="1130"/>
      <c r="B738" s="1453"/>
      <c r="C738" s="539"/>
      <c r="D738" s="539"/>
      <c r="E738" s="539"/>
      <c r="F738" s="1454"/>
      <c r="G738" s="1455"/>
      <c r="I738" s="1159"/>
      <c r="J738" s="1239"/>
      <c r="K738" s="539"/>
    </row>
    <row r="739" spans="1:11">
      <c r="A739" s="1130"/>
      <c r="B739" s="586"/>
      <c r="C739" s="1455"/>
      <c r="D739" s="1185"/>
      <c r="E739" s="1334"/>
      <c r="F739" s="1455"/>
      <c r="G739" s="1455"/>
      <c r="I739" s="1159"/>
      <c r="J739" s="539"/>
      <c r="K739" s="539"/>
    </row>
    <row r="740" spans="1:11">
      <c r="A740" s="1485" t="s">
        <v>1987</v>
      </c>
      <c r="B740" s="1486"/>
      <c r="C740" s="1487"/>
      <c r="D740" s="1488"/>
      <c r="E740" s="1489"/>
      <c r="F740" s="1490"/>
      <c r="G740" s="1491"/>
      <c r="I740" s="1159"/>
      <c r="J740" s="1210"/>
      <c r="K740" s="1159"/>
    </row>
    <row r="742" spans="1:11">
      <c r="A742" s="1335">
        <v>1</v>
      </c>
      <c r="B742" s="1377"/>
      <c r="C742" s="1378"/>
      <c r="D742" s="1379"/>
      <c r="E742" s="1380"/>
      <c r="F742" s="1378" t="s">
        <v>1360</v>
      </c>
      <c r="G742" s="1478"/>
      <c r="H742" s="1342"/>
      <c r="I742" s="1424" t="s">
        <v>1983</v>
      </c>
      <c r="J742" s="1384"/>
      <c r="K742" s="1492"/>
    </row>
    <row r="743" spans="1:11">
      <c r="A743" s="1130"/>
      <c r="B743" s="1236" t="s">
        <v>25</v>
      </c>
      <c r="C743" s="287" t="s">
        <v>1516</v>
      </c>
      <c r="D743" s="1185"/>
      <c r="E743" s="1237">
        <v>1997</v>
      </c>
      <c r="F743" s="1454"/>
      <c r="G743" s="1455"/>
      <c r="I743" s="1159">
        <v>45.99</v>
      </c>
      <c r="J743" s="539"/>
      <c r="K743" s="90"/>
    </row>
    <row r="744" spans="1:11">
      <c r="A744" s="1130"/>
      <c r="B744" s="1465" t="s">
        <v>27</v>
      </c>
      <c r="C744" s="1466" t="s">
        <v>1413</v>
      </c>
      <c r="D744" s="1192"/>
      <c r="E744" s="1444">
        <v>1998</v>
      </c>
      <c r="F744" s="287"/>
      <c r="G744" s="1238"/>
      <c r="I744" s="1159"/>
      <c r="J744" s="539"/>
      <c r="K744" s="1239"/>
    </row>
    <row r="745" spans="1:11">
      <c r="A745" s="1130"/>
      <c r="B745" s="1465" t="s">
        <v>27</v>
      </c>
      <c r="C745" s="287" t="s">
        <v>1359</v>
      </c>
      <c r="D745" s="1185"/>
      <c r="E745" s="1237">
        <v>2003</v>
      </c>
      <c r="F745" s="1238"/>
      <c r="G745" s="542"/>
      <c r="I745" s="1159"/>
      <c r="J745" s="541"/>
      <c r="K745" s="1241"/>
    </row>
    <row r="746" spans="1:11">
      <c r="A746" s="1130"/>
      <c r="B746" s="1465" t="s">
        <v>27</v>
      </c>
      <c r="C746" s="287" t="s">
        <v>1408</v>
      </c>
      <c r="D746" s="1185"/>
      <c r="E746" s="1237">
        <v>2001</v>
      </c>
      <c r="F746" s="542"/>
      <c r="G746" s="539"/>
      <c r="I746" s="1159"/>
      <c r="J746" s="751"/>
      <c r="K746" s="539"/>
    </row>
    <row r="747" spans="1:11">
      <c r="A747" s="1130"/>
      <c r="B747" s="1465"/>
      <c r="C747" s="287"/>
      <c r="D747" s="1185"/>
      <c r="E747" s="1237"/>
      <c r="F747" s="542"/>
      <c r="G747" s="539"/>
      <c r="I747" s="1159"/>
      <c r="J747" s="751"/>
      <c r="K747" s="539"/>
    </row>
    <row r="748" spans="1:11">
      <c r="A748" s="1335">
        <v>2</v>
      </c>
      <c r="B748" s="1438"/>
      <c r="C748" s="1384"/>
      <c r="D748" s="1379"/>
      <c r="E748" s="1380"/>
      <c r="F748" s="1438" t="s">
        <v>553</v>
      </c>
      <c r="G748" s="1480"/>
      <c r="H748" s="1495"/>
      <c r="I748" s="1424" t="s">
        <v>1984</v>
      </c>
      <c r="J748" s="1384"/>
      <c r="K748" s="1494"/>
    </row>
    <row r="749" spans="1:11">
      <c r="A749" s="1130"/>
      <c r="B749" s="1461" t="s">
        <v>27</v>
      </c>
      <c r="C749" s="1455" t="s">
        <v>1522</v>
      </c>
      <c r="D749" s="1185"/>
      <c r="E749" s="1334">
        <v>1995</v>
      </c>
      <c r="F749" s="1238"/>
      <c r="G749" s="1457"/>
      <c r="I749" s="1159">
        <v>46.72</v>
      </c>
      <c r="J749" s="539"/>
      <c r="K749" s="1464"/>
    </row>
    <row r="750" spans="1:11">
      <c r="A750" s="1130"/>
      <c r="B750" s="1325" t="s">
        <v>27</v>
      </c>
      <c r="C750" s="287" t="s">
        <v>1489</v>
      </c>
      <c r="D750" s="1185"/>
      <c r="E750" s="1237">
        <v>2005</v>
      </c>
      <c r="F750" s="1238"/>
      <c r="G750" s="1457"/>
      <c r="I750" s="1159"/>
      <c r="J750" s="539"/>
      <c r="K750" s="90"/>
    </row>
    <row r="751" spans="1:11">
      <c r="A751" s="1130"/>
      <c r="B751" s="1461" t="s">
        <v>29</v>
      </c>
      <c r="C751" s="287" t="s">
        <v>1404</v>
      </c>
      <c r="D751" s="1185"/>
      <c r="E751" s="1237">
        <v>2005</v>
      </c>
      <c r="F751" s="1238"/>
      <c r="G751" s="1457"/>
      <c r="I751" s="1159"/>
      <c r="J751" s="539"/>
      <c r="K751" s="90"/>
    </row>
    <row r="752" spans="1:11">
      <c r="A752" s="1130"/>
      <c r="B752" s="1453" t="s">
        <v>27</v>
      </c>
      <c r="C752" s="287" t="s">
        <v>1523</v>
      </c>
      <c r="D752" s="1185"/>
      <c r="E752" s="1237">
        <v>1997</v>
      </c>
      <c r="F752" s="1457"/>
      <c r="G752" s="1457"/>
      <c r="I752" s="1159"/>
      <c r="J752" s="539"/>
      <c r="K752" s="90"/>
    </row>
    <row r="753" spans="1:11">
      <c r="A753" s="1130"/>
      <c r="B753" s="1453"/>
      <c r="C753" s="1455"/>
      <c r="D753" s="1185"/>
      <c r="E753" s="1334"/>
      <c r="F753" s="1457"/>
      <c r="G753" s="539"/>
      <c r="I753" s="1159"/>
      <c r="J753" s="539"/>
      <c r="K753" s="539"/>
    </row>
    <row r="754" spans="1:11">
      <c r="A754" s="1335">
        <v>3</v>
      </c>
      <c r="B754" s="1438"/>
      <c r="C754" s="1480"/>
      <c r="D754" s="1379"/>
      <c r="E754" s="1493"/>
      <c r="F754" s="1381" t="s">
        <v>1856</v>
      </c>
      <c r="G754" s="1480"/>
      <c r="H754" s="1342"/>
      <c r="I754" s="1424" t="s">
        <v>1985</v>
      </c>
      <c r="J754" s="1384"/>
      <c r="K754" s="1494"/>
    </row>
    <row r="755" spans="1:11">
      <c r="A755" s="1130"/>
      <c r="B755" s="1236" t="s">
        <v>27</v>
      </c>
      <c r="C755" s="287" t="s">
        <v>627</v>
      </c>
      <c r="D755" s="1185"/>
      <c r="E755" s="1237">
        <v>1997</v>
      </c>
      <c r="F755" s="1238"/>
      <c r="G755" s="1457"/>
      <c r="I755" s="1159">
        <v>48.04</v>
      </c>
      <c r="J755" s="539"/>
      <c r="K755" s="90"/>
    </row>
    <row r="756" spans="1:11">
      <c r="A756" s="1130"/>
      <c r="B756" s="586" t="s">
        <v>27</v>
      </c>
      <c r="C756" s="287" t="s">
        <v>1361</v>
      </c>
      <c r="D756" s="1185"/>
      <c r="E756" s="1237">
        <v>2004</v>
      </c>
      <c r="F756" s="1238"/>
      <c r="G756" s="1238"/>
      <c r="I756" s="1159"/>
      <c r="J756" s="539"/>
      <c r="K756" s="539"/>
    </row>
    <row r="757" spans="1:11">
      <c r="A757" s="1130"/>
      <c r="B757" s="1236" t="s">
        <v>29</v>
      </c>
      <c r="C757" s="287" t="s">
        <v>1362</v>
      </c>
      <c r="D757" s="1185"/>
      <c r="E757" s="1237">
        <v>2004</v>
      </c>
      <c r="F757" s="1238"/>
      <c r="G757" s="539"/>
      <c r="I757" s="1159"/>
      <c r="J757" s="539"/>
      <c r="K757" s="539"/>
    </row>
    <row r="758" spans="1:11">
      <c r="A758" s="1130"/>
      <c r="B758" s="1236" t="s">
        <v>27</v>
      </c>
      <c r="C758" s="287" t="s">
        <v>1381</v>
      </c>
      <c r="D758" s="1185"/>
      <c r="E758" s="1237">
        <v>2005</v>
      </c>
      <c r="F758" s="1238"/>
      <c r="G758" s="1457"/>
      <c r="I758" s="1159"/>
      <c r="J758" s="539"/>
      <c r="K758" s="90"/>
    </row>
    <row r="759" spans="1:11">
      <c r="A759" s="1130"/>
      <c r="B759" s="1236"/>
      <c r="C759" s="539"/>
      <c r="D759" s="539"/>
      <c r="E759" s="169"/>
      <c r="F759" s="1238"/>
      <c r="G759" s="1457"/>
      <c r="I759" s="1159"/>
      <c r="J759" s="539"/>
      <c r="K759" s="90"/>
    </row>
  </sheetData>
  <sortState xmlns:xlrd2="http://schemas.microsoft.com/office/spreadsheetml/2017/richdata2" ref="A701:K708">
    <sortCondition descending="1" ref="G701:G708"/>
  </sortState>
  <mergeCells count="39">
    <mergeCell ref="C642:D642"/>
    <mergeCell ref="C334:D334"/>
    <mergeCell ref="C453:D453"/>
    <mergeCell ref="A54:K54"/>
    <mergeCell ref="A1:K1"/>
    <mergeCell ref="A2:K2"/>
    <mergeCell ref="A3:K3"/>
    <mergeCell ref="A22:K22"/>
    <mergeCell ref="A23:K23"/>
    <mergeCell ref="A25:K25"/>
    <mergeCell ref="C47:H48"/>
    <mergeCell ref="C50:K50"/>
    <mergeCell ref="C51:K51"/>
    <mergeCell ref="C52:K52"/>
    <mergeCell ref="A53:K53"/>
    <mergeCell ref="A99:K99"/>
    <mergeCell ref="A55:C55"/>
    <mergeCell ref="F55:J55"/>
    <mergeCell ref="A56:K56"/>
    <mergeCell ref="B57:D57"/>
    <mergeCell ref="E57:G57"/>
    <mergeCell ref="I57:K57"/>
    <mergeCell ref="B94:D94"/>
    <mergeCell ref="C95:K95"/>
    <mergeCell ref="C96:K96"/>
    <mergeCell ref="C97:K97"/>
    <mergeCell ref="A98:K98"/>
    <mergeCell ref="K103:K104"/>
    <mergeCell ref="C146:D146"/>
    <mergeCell ref="F100:I100"/>
    <mergeCell ref="A101:K101"/>
    <mergeCell ref="A102:K102"/>
    <mergeCell ref="A103:A104"/>
    <mergeCell ref="B103:B104"/>
    <mergeCell ref="C103:D104"/>
    <mergeCell ref="E103:E104"/>
    <mergeCell ref="F103:G104"/>
    <mergeCell ref="H103:I103"/>
    <mergeCell ref="J103:J104"/>
  </mergeCells>
  <conditionalFormatting sqref="C154">
    <cfRule type="duplicateValues" dxfId="339" priority="270"/>
  </conditionalFormatting>
  <conditionalFormatting sqref="C163">
    <cfRule type="duplicateValues" dxfId="338" priority="269"/>
  </conditionalFormatting>
  <conditionalFormatting sqref="C220">
    <cfRule type="duplicateValues" dxfId="337" priority="268"/>
  </conditionalFormatting>
  <conditionalFormatting sqref="C379">
    <cfRule type="duplicateValues" dxfId="336" priority="264"/>
  </conditionalFormatting>
  <conditionalFormatting sqref="C390">
    <cfRule type="duplicateValues" dxfId="335" priority="263"/>
  </conditionalFormatting>
  <conditionalFormatting sqref="D132 C131">
    <cfRule type="duplicateValues" dxfId="334" priority="262"/>
  </conditionalFormatting>
  <conditionalFormatting sqref="C144">
    <cfRule type="duplicateValues" dxfId="333" priority="261"/>
  </conditionalFormatting>
  <conditionalFormatting sqref="E226 E247:E299">
    <cfRule type="expression" dxfId="332" priority="259">
      <formula>IF(ISBLANK(E226),FALSE,IF(IF(ISNUMBER($G$13),IF(YEAR(TODAY())-$G$13&lt;=E226,FALSE,TRUE),FALSE),TRUE,IF(ISNUMBER($E$13),IF(YEAR(TODAY())-$E$13&lt;E226,TRUE,FALSE),FALSE)))</formula>
    </cfRule>
  </conditionalFormatting>
  <conditionalFormatting sqref="H218 K180 K174 K195 K202 H170:H171 K156 H144 K125 H125">
    <cfRule type="expression" dxfId="331" priority="257">
      <formula>IF(ISNUMBER(H125),FALSE,IF(ISBLANK(H125),FALSE,TRUE))</formula>
    </cfRule>
    <cfRule type="expression" dxfId="330" priority="258">
      <formula>IF(INT(H125/10000)&gt;23,TRUE,IF(INT(MOD(H125,10000)/100)&gt;59.99,TRUE,IF(MOD(H125,100)&gt;59.99,TRUE,FALSE)))</formula>
    </cfRule>
  </conditionalFormatting>
  <conditionalFormatting sqref="A210:A211">
    <cfRule type="expression" priority="256">
      <formula>IF(MOD(A241,10)&lt;10,MOD(A241,10),IF(A241/10&gt;8,MOD(A241,80),IF(A241/10&gt;7,MOD(A241,70),IF(A241/10&gt;6,MOD(A241,60),IF(A241/10&gt;5,MOD(A241,50),IF(A241/10&gt;4,MOD(A241,40),IF(A241/10&gt;3,MOD(A241,30),IF(A241/10&gt;2,MOD(A241,20),MOD(A241,100)))))))))</formula>
    </cfRule>
  </conditionalFormatting>
  <conditionalFormatting sqref="C202:C203 C106:C107">
    <cfRule type="duplicateValues" dxfId="329" priority="255"/>
  </conditionalFormatting>
  <conditionalFormatting sqref="K137:K161 I375 H393:H394 H376:H381 H384:H389 H238:H239 H247:H299 H244 H231:H234 H241:H242 H226 H219 H189 H186 H180 H177 H215:H217 K203:K206 K172:K200 K214:K216 K167 H162 H153 H148 K135 H132:H133 H129:H130 K129:K132 H122:H124 H172:H175 H141:H143 H405:H406">
    <cfRule type="expression" dxfId="328" priority="254">
      <formula>IF(NOT(ISBLANK(H122)),IF(ISNUMBER(H122),IF(INT(H122/10000)&gt;23,TRUE,IF(INT(MOD(H122,10000)/100)&gt;59.99,TRUE,IF(MOD(H122,100)&gt;59.99,TRUE,FALSE))),TRUE))</formula>
    </cfRule>
  </conditionalFormatting>
  <conditionalFormatting sqref="A135 A137 A139">
    <cfRule type="expression" priority="253">
      <formula>IF(MOD(A167,10)&lt;10,MOD(A167,10),IF(A167/10&gt;8,MOD(A167,80),IF(A167/10&gt;7,MOD(A167,70),IF(A167/10&gt;6,MOD(A167,60),IF(A167/10&gt;5,MOD(A167,50),IF(A167/10&gt;4,MOD(A167,40),IF(A167/10&gt;3,MOD(A167,30),IF(A167/10&gt;2,MOD(A167,20),MOD(A167,100)))))))))</formula>
    </cfRule>
  </conditionalFormatting>
  <conditionalFormatting sqref="A110 A113:A116 A118:A120 A141:A143">
    <cfRule type="expression" priority="250">
      <formula>IF(MOD(#REF!,10)&lt;10,MOD(#REF!,10),IF(#REF!/10&gt;8,MOD(#REF!,80),IF(#REF!/10&gt;7,MOD(#REF!,70),IF(#REF!/10&gt;6,MOD(#REF!,60),IF(#REF!/10&gt;5,MOD(#REF!,50),IF(#REF!/10&gt;4,MOD(#REF!,40),IF(#REF!/10&gt;3,MOD(#REF!,30),IF(#REF!/10&gt;2,MOD(#REF!,20),MOD(#REF!,100)))))))))</formula>
    </cfRule>
  </conditionalFormatting>
  <conditionalFormatting sqref="A184 A158 A119 A113 A207">
    <cfRule type="expression" priority="247">
      <formula>IF(MOD(#REF!,10)&lt;10,MOD(#REF!,10),IF(#REF!/10&gt;8,MOD(#REF!,80),IF(#REF!/10&gt;7,MOD(#REF!,70),IF(#REF!/10&gt;6,MOD(#REF!,60),IF(#REF!/10&gt;5,MOD(#REF!,50),IF(#REF!/10&gt;4,MOD(#REF!,40),IF(#REF!/10&gt;3,MOD(#REF!,30),IF(#REF!/10&gt;2,MOD(#REF!,20),MOD(#REF!,100)))))))))</formula>
    </cfRule>
  </conditionalFormatting>
  <conditionalFormatting sqref="A124 A126 A120:A122">
    <cfRule type="expression" priority="246">
      <formula>IF(MOD(A140,10)&lt;10,MOD(A140,10),IF(A140/10&gt;8,MOD(A140,80),IF(A140/10&gt;7,MOD(A140,70),IF(A140/10&gt;6,MOD(A140,60),IF(A140/10&gt;5,MOD(A140,50),IF(A140/10&gt;4,MOD(A140,40),IF(A140/10&gt;3,MOD(A140,30),IF(A140/10&gt;2,MOD(A140,20),MOD(A140,100)))))))))</formula>
    </cfRule>
  </conditionalFormatting>
  <conditionalFormatting sqref="A157">
    <cfRule type="expression" priority="245">
      <formula>IF(MOD(A176,10)&lt;10,MOD(A176,10),IF(A176/10&gt;8,MOD(A176,80),IF(A176/10&gt;7,MOD(A176,70),IF(A176/10&gt;6,MOD(A176,60),IF(A176/10&gt;5,MOD(A176,50),IF(A176/10&gt;4,MOD(A176,40),IF(A176/10&gt;3,MOD(A176,30),IF(A176/10&gt;2,MOD(A176,20),MOD(A176,100)))))))))</formula>
    </cfRule>
  </conditionalFormatting>
  <conditionalFormatting sqref="A208">
    <cfRule type="expression" priority="243">
      <formula>IF(MOD(A227,10)&lt;10,MOD(A227,10),IF(A227/10&gt;8,MOD(A227,80),IF(A227/10&gt;7,MOD(A227,70),IF(A227/10&gt;6,MOD(A227,60),IF(A227/10&gt;5,MOD(A227,50),IF(A227/10&gt;4,MOD(A227,40),IF(A227/10&gt;3,MOD(A227,30),IF(A227/10&gt;2,MOD(A227,20),MOD(A227,100)))))))))</formula>
    </cfRule>
  </conditionalFormatting>
  <conditionalFormatting sqref="A214:A215 A173:A177 A179:A183 A185:A189 A191:A200 A202:A206 A208:A211">
    <cfRule type="expression" priority="242">
      <formula>IF(MOD(#REF!,10)&lt;10,MOD(#REF!,10),IF(#REF!/10&gt;8,MOD(#REF!,80),IF(#REF!/10&gt;7,MOD(#REF!,70),IF(#REF!/10&gt;6,MOD(#REF!,60),IF(#REF!/10&gt;5,MOD(#REF!,50),IF(#REF!/10&gt;4,MOD(#REF!,40),IF(#REF!/10&gt;3,MOD(#REF!,30),IF(#REF!/10&gt;2,MOD(#REF!,20),MOD(#REF!,100)))))))))</formula>
    </cfRule>
  </conditionalFormatting>
  <conditionalFormatting sqref="C213">
    <cfRule type="duplicateValues" dxfId="327" priority="240"/>
  </conditionalFormatting>
  <conditionalFormatting sqref="A247:A271">
    <cfRule type="expression" priority="239">
      <formula>IF(MOD(A373,10)&lt;10,MOD(A373,10),IF(A373/10&gt;8,MOD(A373,80),IF(A373/10&gt;7,MOD(A373,70),IF(A373/10&gt;6,MOD(A373,60),IF(A373/10&gt;5,MOD(A373,50),IF(A373/10&gt;4,MOD(A373,40),IF(A373/10&gt;3,MOD(A373,30),IF(A373/10&gt;2,MOD(A373,20),MOD(A373,100)))))))))</formula>
    </cfRule>
  </conditionalFormatting>
  <conditionalFormatting sqref="A208:A210 A235:A242 A276">
    <cfRule type="expression" priority="238">
      <formula>IF(MOD(A330,10)&lt;10,MOD(A330,10),IF(A330/10&gt;8,MOD(A330,80),IF(A330/10&gt;7,MOD(A330,70),IF(A330/10&gt;6,MOD(A330,60),IF(A330/10&gt;5,MOD(A330,50),IF(A330/10&gt;4,MOD(A330,40),IF(A330/10&gt;3,MOD(A330,30),IF(A330/10&gt;2,MOD(A330,20),MOD(A330,100)))))))))</formula>
    </cfRule>
  </conditionalFormatting>
  <conditionalFormatting sqref="B232">
    <cfRule type="expression" dxfId="326" priority="237">
      <formula>IF(#REF!&lt;&gt;$H$11,IF(#REF!&lt;&gt;$H$12,IF(#REF!&lt;&gt;$H$13,IF(#REF!&lt;&gt;$I$11,IF(B232&lt;&gt;$I$12,IF(#REF!&lt;&gt;$I$13,IF(#REF!&lt;&gt;$L$11,IF(#REF!&lt;&gt;$L$12,IF(#REF!&lt;&gt;$L$13,IF(#REF!&lt;&gt;$N$11,IF(#REF!&lt;&gt;$N$12,TRUE)))))))))))</formula>
    </cfRule>
  </conditionalFormatting>
  <conditionalFormatting sqref="B225">
    <cfRule type="expression" dxfId="325" priority="236">
      <formula>IF(#REF!&lt;&gt;$H$11,IF(#REF!&lt;&gt;$H$12,IF(#REF!&lt;&gt;$H$13,IF(#REF!&lt;&gt;$I$11,IF(B225&lt;&gt;$I$12,IF(#REF!&lt;&gt;$I$13,IF(#REF!&lt;&gt;$L$11,IF(#REF!&lt;&gt;$L$12,IF(#REF!&lt;&gt;$L$13,IF(#REF!&lt;&gt;$N$11,IF(#REF!&lt;&gt;$N$12,TRUE)))))))))))</formula>
    </cfRule>
  </conditionalFormatting>
  <conditionalFormatting sqref="A217:A219">
    <cfRule type="expression" priority="234">
      <formula>IF(MOD(A339,10)&lt;10,MOD(A339,10),IF(A339/10&gt;8,MOD(A339,80),IF(A339/10&gt;7,MOD(A339,70),IF(A339/10&gt;6,MOD(A339,60),IF(A339/10&gt;5,MOD(A339,50),IF(A339/10&gt;4,MOD(A339,40),IF(A339/10&gt;3,MOD(A339,30),IF(A339/10&gt;2,MOD(A339,20),MOD(A339,100)))))))))</formula>
    </cfRule>
  </conditionalFormatting>
  <conditionalFormatting sqref="C243">
    <cfRule type="duplicateValues" dxfId="324" priority="233"/>
  </conditionalFormatting>
  <conditionalFormatting sqref="A244:A245">
    <cfRule type="expression" priority="231">
      <formula>IF(MOD(A369,10)&lt;10,MOD(A369,10),IF(A369/10&gt;8,MOD(A369,80),IF(A369/10&gt;7,MOD(A369,70),IF(A369/10&gt;6,MOD(A369,60),IF(A369/10&gt;5,MOD(A369,50),IF(A369/10&gt;4,MOD(A369,40),IF(A369/10&gt;3,MOD(A369,30),IF(A369/10&gt;2,MOD(A369,20),MOD(A369,100)))))))))</formula>
    </cfRule>
  </conditionalFormatting>
  <conditionalFormatting sqref="A194">
    <cfRule type="expression" priority="229">
      <formula>IF(MOD(#REF!,10)&lt;10,MOD(#REF!,10),IF(#REF!/10&gt;8,MOD(#REF!,80),IF(#REF!/10&gt;7,MOD(#REF!,70),IF(#REF!/10&gt;6,MOD(#REF!,60),IF(#REF!/10&gt;5,MOD(#REF!,50),IF(#REF!/10&gt;4,MOD(#REF!,40),IF(#REF!/10&gt;3,MOD(#REF!,30),IF(#REF!/10&gt;2,MOD(#REF!,20),MOD(#REF!,100)))))))))</formula>
    </cfRule>
  </conditionalFormatting>
  <conditionalFormatting sqref="A153">
    <cfRule type="expression" priority="228">
      <formula>IF(MOD(#REF!,10)&lt;10,MOD(#REF!,10),IF(#REF!/10&gt;8,MOD(#REF!,80),IF(#REF!/10&gt;7,MOD(#REF!,70),IF(#REF!/10&gt;6,MOD(#REF!,60),IF(#REF!/10&gt;5,MOD(#REF!,50),IF(#REF!/10&gt;4,MOD(#REF!,40),IF(#REF!/10&gt;3,MOD(#REF!,30),IF(#REF!/10&gt;2,MOD(#REF!,20),MOD(#REF!,100)))))))))</formula>
    </cfRule>
  </conditionalFormatting>
  <conditionalFormatting sqref="E225 E214:E215 E218:E220 E204:E212 E108:E124 E156:E170 E172:E201 E126:E154">
    <cfRule type="expression" dxfId="323" priority="227">
      <formula>IF(ISBLANK(E108),FALSE,IF(IF(ISNUMBER($E$13),IF(YEAR(TODAY())-$E$13&lt;=E108,FALSE,TRUE),FALSE),TRUE,IF(ISNUMBER($H$13),IF(YEAR(TODAY())-$H$13&lt;E108,TRUE,FALSE),FALSE)))</formula>
    </cfRule>
  </conditionalFormatting>
  <conditionalFormatting sqref="G121:G124 G118 G111 G113:G116 G108:G109">
    <cfRule type="expression" dxfId="322" priority="226">
      <formula>IF(G108&gt;($H$11+$H$12-#REF!),IF((G108+#REF!)&gt;($H$11+$H$12),TRUE,))</formula>
    </cfRule>
  </conditionalFormatting>
  <conditionalFormatting sqref="G119:G120 G110 G112">
    <cfRule type="expression" dxfId="321" priority="225">
      <formula>IF(G110&gt;($H$11+$H$12-#REF!),IF((G110+#REF!)&gt;($H$11+$H$12),TRUE,))</formula>
    </cfRule>
  </conditionalFormatting>
  <conditionalFormatting sqref="B109">
    <cfRule type="expression" dxfId="320" priority="224">
      <formula>IF(#REF!&lt;&gt;$I$11,IF(#REF!&lt;&gt;$I$12,IF(#REF!&lt;&gt;$I$13,IF(#REF!&lt;&gt;$J$11,IF(#REF!&lt;&gt;$J$12,IF(#REF!&lt;&gt;$J$13,IF(#REF!&lt;&gt;#REF!,IF(#REF!&lt;&gt;#REF!,IF(#REF!&lt;&gt;#REF!,IF(#REF!&lt;&gt;#REF!,IF(#REF!&lt;&gt;#REF!,TRUE)))))))))))</formula>
    </cfRule>
  </conditionalFormatting>
  <conditionalFormatting sqref="B205 B200 B190:B194 B162 B157 B140 B144 B111:B112 B122:B123 B117:B118 B115 B166">
    <cfRule type="expression" dxfId="319" priority="223">
      <formula>IF(#REF!&lt;&gt;$I$11,IF(#REF!&lt;&gt;$I$12,IF(#REF!&lt;&gt;$I$13,IF(#REF!&lt;&gt;$J$11,IF(#REF!&lt;&gt;$J$12,IF(#REF!&lt;&gt;$J$13,IF(#REF!&lt;&gt;#REF!,IF(#REF!&lt;&gt;#REF!,IF(#REF!&lt;&gt;#REF!,IF(#REF!&lt;&gt;#REF!,IF(#REF!&lt;&gt;#REF!,TRUE)))))))))))</formula>
    </cfRule>
  </conditionalFormatting>
  <conditionalFormatting sqref="B124">
    <cfRule type="expression" dxfId="318" priority="221">
      <formula>IF(#REF!&lt;&gt;$I$11,IF(#REF!&lt;&gt;$I$12,IF(#REF!&lt;&gt;$I$13,IF(#REF!&lt;&gt;$J$11,IF(#REF!&lt;&gt;$J$12,IF(#REF!&lt;&gt;$J$13,IF(#REF!&lt;&gt;#REF!,IF(#REF!&lt;&gt;#REF!,IF(#REF!&lt;&gt;#REF!,IF(#REF!&lt;&gt;#REF!,IF(#REF!&lt;&gt;#REF!,TRUE)))))))))))</formula>
    </cfRule>
  </conditionalFormatting>
  <conditionalFormatting sqref="B138:B139">
    <cfRule type="expression" dxfId="317" priority="218">
      <formula>IF(#REF!&lt;&gt;$I$11,IF(#REF!&lt;&gt;$I$12,IF(#REF!&lt;&gt;$I$13,IF(#REF!&lt;&gt;$J$11,IF(#REF!&lt;&gt;$J$12,IF(#REF!&lt;&gt;$J$13,IF(#REF!&lt;&gt;#REF!,IF(#REF!&lt;&gt;#REF!,IF(#REF!&lt;&gt;#REF!,IF(#REF!&lt;&gt;#REF!,IF(#REF!&lt;&gt;#REF!,TRUE)))))))))))</formula>
    </cfRule>
  </conditionalFormatting>
  <conditionalFormatting sqref="A127">
    <cfRule type="expression" priority="215">
      <formula>IF(MOD(#REF!,10)&lt;10,MOD(#REF!,10),IF(#REF!/10&gt;8,MOD(#REF!,80),IF(#REF!/10&gt;7,MOD(#REF!,70),IF(#REF!/10&gt;6,MOD(#REF!,60),IF(#REF!/10&gt;5,MOD(#REF!,50),IF(#REF!/10&gt;4,MOD(#REF!,40),IF(#REF!/10&gt;3,MOD(#REF!,30),IF(#REF!/10&gt;2,MOD(#REF!,20),MOD(#REF!,100)))))))))</formula>
    </cfRule>
  </conditionalFormatting>
  <conditionalFormatting sqref="A125 A127 A129 A131 A133 A135 A137 A139 A141">
    <cfRule type="expression" priority="214">
      <formula>IF(MOD(#REF!,10)&lt;10,MOD(#REF!,10),IF(#REF!/10&gt;8,MOD(#REF!,80),IF(#REF!/10&gt;7,MOD(#REF!,70),IF(#REF!/10&gt;6,MOD(#REF!,60),IF(#REF!/10&gt;5,MOD(#REF!,50),IF(#REF!/10&gt;4,MOD(#REF!,40),IF(#REF!/10&gt;3,MOD(#REF!,30),IF(#REF!/10&gt;2,MOD(#REF!,20),MOD(#REF!,100)))))))))</formula>
    </cfRule>
  </conditionalFormatting>
  <conditionalFormatting sqref="A118">
    <cfRule type="expression" priority="213">
      <formula>IF(MOD(A139,10)&lt;10,MOD(A139,10),IF(A139/10&gt;8,MOD(A139,80),IF(A139/10&gt;7,MOD(A139,70),IF(A139/10&gt;6,MOD(A139,60),IF(A139/10&gt;5,MOD(A139,50),IF(A139/10&gt;4,MOD(A139,40),IF(A139/10&gt;3,MOD(A139,30),IF(A139/10&gt;2,MOD(A139,20),MOD(A139,100)))))))))</formula>
    </cfRule>
  </conditionalFormatting>
  <conditionalFormatting sqref="A176 A169 A199">
    <cfRule type="expression" priority="212">
      <formula>IF(MOD(#REF!,10)&lt;10,MOD(#REF!,10),IF(#REF!/10&gt;8,MOD(#REF!,80),IF(#REF!/10&gt;7,MOD(#REF!,70),IF(#REF!/10&gt;6,MOD(#REF!,60),IF(#REF!/10&gt;5,MOD(#REF!,50),IF(#REF!/10&gt;4,MOD(#REF!,40),IF(#REF!/10&gt;3,MOD(#REF!,30),IF(#REF!/10&gt;2,MOD(#REF!,20),MOD(#REF!,100)))))))))</formula>
    </cfRule>
  </conditionalFormatting>
  <conditionalFormatting sqref="A187 A183 A210 A206">
    <cfRule type="expression" priority="211">
      <formula>IF(MOD(#REF!,10)&lt;10,MOD(#REF!,10),IF(#REF!/10&gt;8,MOD(#REF!,80),IF(#REF!/10&gt;7,MOD(#REF!,70),IF(#REF!/10&gt;6,MOD(#REF!,60),IF(#REF!/10&gt;5,MOD(#REF!,50),IF(#REF!/10&gt;4,MOD(#REF!,40),IF(#REF!/10&gt;3,MOD(#REF!,30),IF(#REF!/10&gt;2,MOD(#REF!,20),MOD(#REF!,100)))))))))</formula>
    </cfRule>
  </conditionalFormatting>
  <conditionalFormatting sqref="A198 A189 A164 A115">
    <cfRule type="expression" priority="210">
      <formula>IF(MOD(#REF!,10)&lt;10,MOD(#REF!,10),IF(#REF!/10&gt;8,MOD(#REF!,80),IF(#REF!/10&gt;7,MOD(#REF!,70),IF(#REF!/10&gt;6,MOD(#REF!,60),IF(#REF!/10&gt;5,MOD(#REF!,50),IF(#REF!/10&gt;4,MOD(#REF!,40),IF(#REF!/10&gt;3,MOD(#REF!,30),IF(#REF!/10&gt;2,MOD(#REF!,20),MOD(#REF!,100)))))))))</formula>
    </cfRule>
  </conditionalFormatting>
  <conditionalFormatting sqref="A216 A170:A172 A159 A122:A123 A109 A112 A115:A116 A118:A119 A174:A176 A178 A180:A182 A184:A186 A188 A190 A203:A205 A207:A209 A211 A155 A139 A192:A201 A142 A126:A137 A149 A144">
    <cfRule type="expression" priority="209">
      <formula>IF(MOD(#REF!,10)&lt;10,MOD(#REF!,10),IF(#REF!/10&gt;8,MOD(#REF!,80),IF(#REF!/10&gt;7,MOD(#REF!,70),IF(#REF!/10&gt;6,MOD(#REF!,60),IF(#REF!/10&gt;5,MOD(#REF!,50),IF(#REF!/10&gt;4,MOD(#REF!,40),IF(#REF!/10&gt;3,MOD(#REF!,30),IF(#REF!/10&gt;2,MOD(#REF!,20),MOD(#REF!,100)))))))))</formula>
    </cfRule>
  </conditionalFormatting>
  <conditionalFormatting sqref="B137">
    <cfRule type="expression" dxfId="316" priority="208">
      <formula>IF(#REF!&lt;&gt;$I$11,IF(#REF!&lt;&gt;$I$12,IF(#REF!&lt;&gt;$I$13,IF(#REF!&lt;&gt;$J$11,IF(#REF!&lt;&gt;$J$12,IF(#REF!&lt;&gt;$J$13,IF(#REF!&lt;&gt;#REF!,IF(#REF!&lt;&gt;#REF!,IF(#REF!&lt;&gt;#REF!,IF(#REF!&lt;&gt;#REF!,IF(#REF!&lt;&gt;#REF!,TRUE)))))))))))</formula>
    </cfRule>
  </conditionalFormatting>
  <conditionalFormatting sqref="B145">
    <cfRule type="expression" dxfId="315" priority="207">
      <formula>IF(#REF!&lt;&gt;$I$11,IF(#REF!&lt;&gt;$I$12,IF(#REF!&lt;&gt;$I$13,IF(#REF!&lt;&gt;$J$11,IF(#REF!&lt;&gt;$J$12,IF(#REF!&lt;&gt;$J$13,IF(#REF!&lt;&gt;#REF!,IF(#REF!&lt;&gt;#REF!,IF(#REF!&lt;&gt;#REF!,IF(#REF!&lt;&gt;#REF!,IF(#REF!&lt;&gt;#REF!,TRUE)))))))))))</formula>
    </cfRule>
  </conditionalFormatting>
  <conditionalFormatting sqref="A134">
    <cfRule type="expression" priority="206">
      <formula>IF(MOD(#REF!,10)&lt;10,MOD(#REF!,10),IF(#REF!/10&gt;8,MOD(#REF!,80),IF(#REF!/10&gt;7,MOD(#REF!,70),IF(#REF!/10&gt;6,MOD(#REF!,60),IF(#REF!/10&gt;5,MOD(#REF!,50),IF(#REF!/10&gt;4,MOD(#REF!,40),IF(#REF!/10&gt;3,MOD(#REF!,30),IF(#REF!/10&gt;2,MOD(#REF!,20),MOD(#REF!,100)))))))))</formula>
    </cfRule>
  </conditionalFormatting>
  <conditionalFormatting sqref="A150 A135:A137">
    <cfRule type="expression" priority="205">
      <formula>IF(MOD(#REF!,10)&lt;10,MOD(#REF!,10),IF(#REF!/10&gt;8,MOD(#REF!,80),IF(#REF!/10&gt;7,MOD(#REF!,70),IF(#REF!/10&gt;6,MOD(#REF!,60),IF(#REF!/10&gt;5,MOD(#REF!,50),IF(#REF!/10&gt;4,MOD(#REF!,40),IF(#REF!/10&gt;3,MOD(#REF!,30),IF(#REF!/10&gt;2,MOD(#REF!,20),MOD(#REF!,100)))))))))</formula>
    </cfRule>
  </conditionalFormatting>
  <conditionalFormatting sqref="B151">
    <cfRule type="expression" dxfId="314" priority="204">
      <formula>IF(#REF!&lt;&gt;$I$11,IF(#REF!&lt;&gt;$I$12,IF(#REF!&lt;&gt;$I$13,IF(#REF!&lt;&gt;$J$11,IF(#REF!&lt;&gt;$J$12,IF(#REF!&lt;&gt;$J$13,IF(#REF!&lt;&gt;#REF!,IF(#REF!&lt;&gt;#REF!,IF(#REF!&lt;&gt;#REF!,IF(#REF!&lt;&gt;#REF!,IF(#REF!&lt;&gt;#REF!,TRUE)))))))))))</formula>
    </cfRule>
  </conditionalFormatting>
  <conditionalFormatting sqref="B146">
    <cfRule type="expression" dxfId="313" priority="203">
      <formula>IF(#REF!&lt;&gt;$I$11,IF(#REF!&lt;&gt;$I$12,IF(#REF!&lt;&gt;$I$13,IF(#REF!&lt;&gt;$J$11,IF(#REF!&lt;&gt;$J$12,IF(#REF!&lt;&gt;$J$13,IF(#REF!&lt;&gt;#REF!,IF(#REF!&lt;&gt;#REF!,IF(#REF!&lt;&gt;#REF!,IF(#REF!&lt;&gt;#REF!,IF(#REF!&lt;&gt;#REF!,TRUE)))))))))))</formula>
    </cfRule>
  </conditionalFormatting>
  <conditionalFormatting sqref="B150">
    <cfRule type="expression" dxfId="312" priority="201">
      <formula>IF(#REF!&lt;&gt;$I$11,IF(#REF!&lt;&gt;$I$12,IF(#REF!&lt;&gt;$I$13,IF(#REF!&lt;&gt;$J$11,IF(#REF!&lt;&gt;$J$12,IF(#REF!&lt;&gt;$J$13,IF(#REF!&lt;&gt;#REF!,IF(#REF!&lt;&gt;#REF!,IF(#REF!&lt;&gt;#REF!,IF(#REF!&lt;&gt;#REF!,IF(#REF!&lt;&gt;#REF!,TRUE)))))))))))</formula>
    </cfRule>
  </conditionalFormatting>
  <conditionalFormatting sqref="A190 A144">
    <cfRule type="expression" priority="200">
      <formula>IF(MOD(#REF!,10)&lt;10,MOD(#REF!,10),IF(#REF!/10&gt;8,MOD(#REF!,80),IF(#REF!/10&gt;7,MOD(#REF!,70),IF(#REF!/10&gt;6,MOD(#REF!,60),IF(#REF!/10&gt;5,MOD(#REF!,50),IF(#REF!/10&gt;4,MOD(#REF!,40),IF(#REF!/10&gt;3,MOD(#REF!,30),IF(#REF!/10&gt;2,MOD(#REF!,20),MOD(#REF!,100)))))))))</formula>
    </cfRule>
  </conditionalFormatting>
  <conditionalFormatting sqref="B183">
    <cfRule type="expression" dxfId="311" priority="199">
      <formula>IF(#REF!&lt;&gt;$I$11,IF(#REF!&lt;&gt;$I$12,IF(#REF!&lt;&gt;$I$13,IF(#REF!&lt;&gt;$J$11,IF(#REF!&lt;&gt;$J$12,IF(#REF!&lt;&gt;$J$13,IF(#REF!&lt;&gt;#REF!,IF(#REF!&lt;&gt;#REF!,IF(#REF!&lt;&gt;#REF!,IF(#REF!&lt;&gt;#REF!,IF(#REF!&lt;&gt;#REF!,TRUE)))))))))))</formula>
    </cfRule>
  </conditionalFormatting>
  <conditionalFormatting sqref="B197">
    <cfRule type="expression" dxfId="310" priority="198">
      <formula>IF(#REF!&lt;&gt;$I$11,IF(#REF!&lt;&gt;$I$12,IF(#REF!&lt;&gt;$I$13,IF(#REF!&lt;&gt;$J$11,IF(#REF!&lt;&gt;$J$12,IF(#REF!&lt;&gt;$J$13,IF(#REF!&lt;&gt;#REF!,IF(#REF!&lt;&gt;#REF!,IF(#REF!&lt;&gt;#REF!,IF(#REF!&lt;&gt;#REF!,IF(#REF!&lt;&gt;#REF!,TRUE)))))))))))</formula>
    </cfRule>
  </conditionalFormatting>
  <conditionalFormatting sqref="B189">
    <cfRule type="expression" dxfId="309" priority="196">
      <formula>IF(#REF!&lt;&gt;$I$11,IF(#REF!&lt;&gt;$I$12,IF(#REF!&lt;&gt;$I$13,IF(#REF!&lt;&gt;$J$11,IF(#REF!&lt;&gt;$J$12,IF(#REF!&lt;&gt;$J$13,IF(#REF!&lt;&gt;#REF!,IF(#REF!&lt;&gt;#REF!,IF(#REF!&lt;&gt;#REF!,IF(#REF!&lt;&gt;#REF!,IF(#REF!&lt;&gt;#REF!,TRUE)))))))))))</formula>
    </cfRule>
  </conditionalFormatting>
  <conditionalFormatting sqref="B196">
    <cfRule type="expression" dxfId="308" priority="195">
      <formula>IF(#REF!&lt;&gt;$I$11,IF(#REF!&lt;&gt;$I$12,IF(#REF!&lt;&gt;$I$13,IF(#REF!&lt;&gt;$J$11,IF(#REF!&lt;&gt;$J$12,IF(#REF!&lt;&gt;$J$13,IF(#REF!&lt;&gt;#REF!,IF(#REF!&lt;&gt;#REF!,IF(#REF!&lt;&gt;#REF!,IF(#REF!&lt;&gt;#REF!,IF(#REF!&lt;&gt;#REF!,TRUE)))))))))))</formula>
    </cfRule>
  </conditionalFormatting>
  <conditionalFormatting sqref="B198">
    <cfRule type="expression" dxfId="307" priority="194">
      <formula>IF(#REF!&lt;&gt;$I$11,IF(#REF!&lt;&gt;$I$12,IF(#REF!&lt;&gt;$I$13,IF(#REF!&lt;&gt;$J$11,IF(#REF!&lt;&gt;$J$12,IF(#REF!&lt;&gt;$J$13,IF(#REF!&lt;&gt;#REF!,IF(#REF!&lt;&gt;#REF!,IF(#REF!&lt;&gt;#REF!,IF(#REF!&lt;&gt;#REF!,IF(#REF!&lt;&gt;#REF!,TRUE)))))))))))</formula>
    </cfRule>
  </conditionalFormatting>
  <conditionalFormatting sqref="A172:A211">
    <cfRule type="expression" priority="193">
      <formula>IF(MOD(#REF!,10)&lt;10,MOD(#REF!,10),IF(#REF!/10&gt;8,MOD(#REF!,80),IF(#REF!/10&gt;7,MOD(#REF!,70),IF(#REF!/10&gt;6,MOD(#REF!,60),IF(#REF!/10&gt;5,MOD(#REF!,50),IF(#REF!/10&gt;4,MOD(#REF!,40),IF(#REF!/10&gt;3,MOD(#REF!,30),IF(#REF!/10&gt;2,MOD(#REF!,20),MOD(#REF!,100)))))))))</formula>
    </cfRule>
  </conditionalFormatting>
  <conditionalFormatting sqref="A188 A119">
    <cfRule type="expression" priority="192">
      <formula>IF(MOD(A137,10)&lt;10,MOD(A137,10),IF(A137/10&gt;8,MOD(A137,80),IF(A137/10&gt;7,MOD(A137,70),IF(A137/10&gt;6,MOD(A137,60),IF(A137/10&gt;5,MOD(A137,50),IF(A137/10&gt;4,MOD(A137,40),IF(A137/10&gt;3,MOD(A137,30),IF(A137/10&gt;2,MOD(A137,20),MOD(A137,100)))))))))</formula>
    </cfRule>
  </conditionalFormatting>
  <conditionalFormatting sqref="A140">
    <cfRule type="expression" priority="189">
      <formula>IF(MOD(#REF!,10)&lt;10,MOD(#REF!,10),IF(#REF!/10&gt;8,MOD(#REF!,80),IF(#REF!/10&gt;7,MOD(#REF!,70),IF(#REF!/10&gt;6,MOD(#REF!,60),IF(#REF!/10&gt;5,MOD(#REF!,50),IF(#REF!/10&gt;4,MOD(#REF!,40),IF(#REF!/10&gt;3,MOD(#REF!,30),IF(#REF!/10&gt;2,MOD(#REF!,20),MOD(#REF!,100)))))))))</formula>
    </cfRule>
  </conditionalFormatting>
  <conditionalFormatting sqref="B195">
    <cfRule type="expression" dxfId="306" priority="188">
      <formula>IF(#REF!&lt;&gt;$I$11,IF(#REF!&lt;&gt;$I$12,IF(#REF!&lt;&gt;$I$13,IF(#REF!&lt;&gt;$J$11,IF(#REF!&lt;&gt;$J$12,IF(#REF!&lt;&gt;$J$13,IF(#REF!&lt;&gt;#REF!,IF(#REF!&lt;&gt;#REF!,IF(#REF!&lt;&gt;#REF!,IF(#REF!&lt;&gt;#REF!,IF(#REF!&lt;&gt;#REF!,TRUE)))))))))))</formula>
    </cfRule>
  </conditionalFormatting>
  <conditionalFormatting sqref="B158:B160 B155">
    <cfRule type="expression" dxfId="305" priority="187">
      <formula>IF(#REF!&lt;&gt;$I$11,IF(#REF!&lt;&gt;$I$12,IF(#REF!&lt;&gt;$I$13,IF(#REF!&lt;&gt;$J$11,IF(#REF!&lt;&gt;$J$12,IF(#REF!&lt;&gt;$J$13,IF(#REF!&lt;&gt;#REF!,IF(#REF!&lt;&gt;#REF!,IF(#REF!&lt;&gt;#REF!,IF(#REF!&lt;&gt;#REF!,IF(#REF!&lt;&gt;#REF!,TRUE)))))))))))</formula>
    </cfRule>
  </conditionalFormatting>
  <conditionalFormatting sqref="B209">
    <cfRule type="expression" dxfId="304" priority="186">
      <formula>IF(#REF!&lt;&gt;$I$11,IF(#REF!&lt;&gt;$I$12,IF(#REF!&lt;&gt;$I$13,IF(#REF!&lt;&gt;$J$11,IF(#REF!&lt;&gt;$J$12,IF(#REF!&lt;&gt;$J$13,IF(#REF!&lt;&gt;#REF!,IF(#REF!&lt;&gt;#REF!,IF(#REF!&lt;&gt;#REF!,IF(#REF!&lt;&gt;#REF!,IF(#REF!&lt;&gt;#REF!,TRUE)))))))))))</formula>
    </cfRule>
  </conditionalFormatting>
  <conditionalFormatting sqref="A110:A111">
    <cfRule type="expression" priority="184">
      <formula>IF(MOD(A130,10)&lt;10,MOD(A130,10),IF(A130/10&gt;8,MOD(A130,80),IF(A130/10&gt;7,MOD(A130,70),IF(A130/10&gt;6,MOD(A130,60),IF(A130/10&gt;5,MOD(A130,50),IF(A130/10&gt;4,MOD(A130,40),IF(A130/10&gt;3,MOD(A130,30),IF(A130/10&gt;2,MOD(A130,20),MOD(A130,100)))))))))</formula>
    </cfRule>
  </conditionalFormatting>
  <conditionalFormatting sqref="A160:A161 A108:A109 A111:A112 A114:A115 A117:A118 A172:A211">
    <cfRule type="expression" priority="183">
      <formula>IF(MOD(#REF!,10)&lt;10,MOD(#REF!,10),IF(#REF!/10&gt;8,MOD(#REF!,80),IF(#REF!/10&gt;7,MOD(#REF!,70),IF(#REF!/10&gt;6,MOD(#REF!,60),IF(#REF!/10&gt;5,MOD(#REF!,50),IF(#REF!/10&gt;4,MOD(#REF!,40),IF(#REF!/10&gt;3,MOD(#REF!,30),IF(#REF!/10&gt;2,MOD(#REF!,20),MOD(#REF!,100)))))))))</formula>
    </cfRule>
  </conditionalFormatting>
  <conditionalFormatting sqref="A165">
    <cfRule type="expression" priority="182">
      <formula>IF(MOD(#REF!,10)&lt;10,MOD(#REF!,10),IF(#REF!/10&gt;8,MOD(#REF!,80),IF(#REF!/10&gt;7,MOD(#REF!,70),IF(#REF!/10&gt;6,MOD(#REF!,60),IF(#REF!/10&gt;5,MOD(#REF!,50),IF(#REF!/10&gt;4,MOD(#REF!,40),IF(#REF!/10&gt;3,MOD(#REF!,30),IF(#REF!/10&gt;2,MOD(#REF!,20),MOD(#REF!,100)))))))))</formula>
    </cfRule>
  </conditionalFormatting>
  <conditionalFormatting sqref="A168">
    <cfRule type="expression" priority="181">
      <formula>IF(MOD(A184,10)&lt;10,MOD(A184,10),IF(A184/10&gt;8,MOD(A184,80),IF(A184/10&gt;7,MOD(A184,70),IF(A184/10&gt;6,MOD(A184,60),IF(A184/10&gt;5,MOD(A184,50),IF(A184/10&gt;4,MOD(A184,40),IF(A184/10&gt;3,MOD(A184,30),IF(A184/10&gt;2,MOD(A184,20),MOD(A184,100)))))))))</formula>
    </cfRule>
  </conditionalFormatting>
  <conditionalFormatting sqref="A163 A152 A156 A214 A171 A116">
    <cfRule type="expression" priority="180">
      <formula>IF(MOD(#REF!,10)&lt;10,MOD(#REF!,10),IF(#REF!/10&gt;8,MOD(#REF!,80),IF(#REF!/10&gt;7,MOD(#REF!,70),IF(#REF!/10&gt;6,MOD(#REF!,60),IF(#REF!/10&gt;5,MOD(#REF!,50),IF(#REF!/10&gt;4,MOD(#REF!,40),IF(#REF!/10&gt;3,MOD(#REF!,30),IF(#REF!/10&gt;2,MOD(#REF!,20),MOD(#REF!,100)))))))))</formula>
    </cfRule>
  </conditionalFormatting>
  <conditionalFormatting sqref="A135 A130 A126 A117 A114 A162">
    <cfRule type="expression" priority="179">
      <formula>IF(MOD(#REF!,10)&lt;10,MOD(#REF!,10),IF(#REF!/10&gt;8,MOD(#REF!,80),IF(#REF!/10&gt;7,MOD(#REF!,70),IF(#REF!/10&gt;6,MOD(#REF!,60),IF(#REF!/10&gt;5,MOD(#REF!,50),IF(#REF!/10&gt;4,MOD(#REF!,40),IF(#REF!/10&gt;3,MOD(#REF!,30),IF(#REF!/10&gt;2,MOD(#REF!,20),MOD(#REF!,100)))))))))</formula>
    </cfRule>
  </conditionalFormatting>
  <conditionalFormatting sqref="A148 A121 A151 A154 A157 A160 A163 A166 A124 A126 A128 A130 A132 A134 A136 A138 A140">
    <cfRule type="expression" priority="176">
      <formula>IF(MOD(#REF!,10)&lt;10,MOD(#REF!,10),IF(#REF!/10&gt;8,MOD(#REF!,80),IF(#REF!/10&gt;7,MOD(#REF!,70),IF(#REF!/10&gt;6,MOD(#REF!,60),IF(#REF!/10&gt;5,MOD(#REF!,50),IF(#REF!/10&gt;4,MOD(#REF!,40),IF(#REF!/10&gt;3,MOD(#REF!,30),IF(#REF!/10&gt;2,MOD(#REF!,20),MOD(#REF!,100)))))))))</formula>
    </cfRule>
  </conditionalFormatting>
  <conditionalFormatting sqref="A124 A126 A128 A132">
    <cfRule type="expression" priority="171">
      <formula>IF(MOD(A137,10)&lt;10,MOD(A137,10),IF(A137/10&gt;8,MOD(A137,80),IF(A137/10&gt;7,MOD(A137,70),IF(A137/10&gt;6,MOD(A137,60),IF(A137/10&gt;5,MOD(A137,50),IF(A137/10&gt;4,MOD(A137,40),IF(A137/10&gt;3,MOD(A137,30),IF(A137/10&gt;2,MOD(A137,20),MOD(A137,100)))))))))</formula>
    </cfRule>
  </conditionalFormatting>
  <conditionalFormatting sqref="A141 A177:A182 A200:A205 A147 A150 A153 A156 A158:A159 A162 A165">
    <cfRule type="expression" priority="170">
      <formula>IF(MOD(#REF!,10)&lt;10,MOD(#REF!,10),IF(#REF!/10&gt;8,MOD(#REF!,80),IF(#REF!/10&gt;7,MOD(#REF!,70),IF(#REF!/10&gt;6,MOD(#REF!,60),IF(#REF!/10&gt;5,MOD(#REF!,50),IF(#REF!/10&gt;4,MOD(#REF!,40),IF(#REF!/10&gt;3,MOD(#REF!,30),IF(#REF!/10&gt;2,MOD(#REF!,20),MOD(#REF!,100)))))))))</formula>
    </cfRule>
  </conditionalFormatting>
  <conditionalFormatting sqref="A191 A193 A145:A146 A149 A152 A155 A158 A161 A164 A168">
    <cfRule type="expression" priority="169">
      <formula>IF(MOD(#REF!,10)&lt;10,MOD(#REF!,10),IF(#REF!/10&gt;8,MOD(#REF!,80),IF(#REF!/10&gt;7,MOD(#REF!,70),IF(#REF!/10&gt;6,MOD(#REF!,60),IF(#REF!/10&gt;5,MOD(#REF!,50),IF(#REF!/10&gt;4,MOD(#REF!,40),IF(#REF!/10&gt;3,MOD(#REF!,30),IF(#REF!/10&gt;2,MOD(#REF!,20),MOD(#REF!,100)))))))))</formula>
    </cfRule>
  </conditionalFormatting>
  <conditionalFormatting sqref="A195 A205:A206">
    <cfRule type="expression" priority="163">
      <formula>IF(MOD(A210,10)&lt;10,MOD(A210,10),IF(A210/10&gt;8,MOD(A210,80),IF(A210/10&gt;7,MOD(A210,70),IF(A210/10&gt;6,MOD(A210,60),IF(A210/10&gt;5,MOD(A210,50),IF(A210/10&gt;4,MOD(A210,40),IF(A210/10&gt;3,MOD(A210,30),IF(A210/10&gt;2,MOD(A210,20),MOD(A210,100)))))))))</formula>
    </cfRule>
  </conditionalFormatting>
  <conditionalFormatting sqref="A165 A160 A155">
    <cfRule type="expression" priority="162">
      <formula>IF(MOD(#REF!,10)&lt;10,MOD(#REF!,10),IF(#REF!/10&gt;8,MOD(#REF!,80),IF(#REF!/10&gt;7,MOD(#REF!,70),IF(#REF!/10&gt;6,MOD(#REF!,60),IF(#REF!/10&gt;5,MOD(#REF!,50),IF(#REF!/10&gt;4,MOD(#REF!,40),IF(#REF!/10&gt;3,MOD(#REF!,30),IF(#REF!/10&gt;2,MOD(#REF!,20),MOD(#REF!,100)))))))))</formula>
    </cfRule>
  </conditionalFormatting>
  <conditionalFormatting sqref="A151">
    <cfRule type="expression" priority="161">
      <formula>IF(MOD(#REF!,10)&lt;10,MOD(#REF!,10),IF(#REF!/10&gt;8,MOD(#REF!,80),IF(#REF!/10&gt;7,MOD(#REF!,70),IF(#REF!/10&gt;6,MOD(#REF!,60),IF(#REF!/10&gt;5,MOD(#REF!,50),IF(#REF!/10&gt;4,MOD(#REF!,40),IF(#REF!/10&gt;3,MOD(#REF!,30),IF(#REF!/10&gt;2,MOD(#REF!,20),MOD(#REF!,100)))))))))</formula>
    </cfRule>
  </conditionalFormatting>
  <conditionalFormatting sqref="A167">
    <cfRule type="expression" priority="160">
      <formula>IF(MOD(#REF!,10)&lt;10,MOD(#REF!,10),IF(#REF!/10&gt;8,MOD(#REF!,80),IF(#REF!/10&gt;7,MOD(#REF!,70),IF(#REF!/10&gt;6,MOD(#REF!,60),IF(#REF!/10&gt;5,MOD(#REF!,50),IF(#REF!/10&gt;4,MOD(#REF!,40),IF(#REF!/10&gt;3,MOD(#REF!,30),IF(#REF!/10&gt;2,MOD(#REF!,20),MOD(#REF!,100)))))))))</formula>
    </cfRule>
  </conditionalFormatting>
  <conditionalFormatting sqref="A199">
    <cfRule type="expression" priority="159">
      <formula>IF(MOD(A212,10)&lt;10,MOD(A212,10),IF(A212/10&gt;8,MOD(A212,80),IF(A212/10&gt;7,MOD(A212,70),IF(A212/10&gt;6,MOD(A212,60),IF(A212/10&gt;5,MOD(A212,50),IF(A212/10&gt;4,MOD(A212,40),IF(A212/10&gt;3,MOD(A212,30),IF(A212/10&gt;2,MOD(A212,20),MOD(A212,100)))))))))</formula>
    </cfRule>
  </conditionalFormatting>
  <conditionalFormatting sqref="C169:C170">
    <cfRule type="duplicateValues" dxfId="303" priority="157"/>
  </conditionalFormatting>
  <conditionalFormatting sqref="A188 A211">
    <cfRule type="expression" priority="156">
      <formula>IF(MOD(#REF!,10)&lt;10,MOD(#REF!,10),IF(#REF!/10&gt;8,MOD(#REF!,80),IF(#REF!/10&gt;7,MOD(#REF!,70),IF(#REF!/10&gt;6,MOD(#REF!,60),IF(#REF!/10&gt;5,MOD(#REF!,50),IF(#REF!/10&gt;4,MOD(#REF!,40),IF(#REF!/10&gt;3,MOD(#REF!,30),IF(#REF!/10&gt;2,MOD(#REF!,20),MOD(#REF!,100)))))))))</formula>
    </cfRule>
  </conditionalFormatting>
  <conditionalFormatting sqref="A197 A191:A193">
    <cfRule type="expression" priority="155">
      <formula>IF(MOD(#REF!,10)&lt;10,MOD(#REF!,10),IF(#REF!/10&gt;8,MOD(#REF!,80),IF(#REF!/10&gt;7,MOD(#REF!,70),IF(#REF!/10&gt;6,MOD(#REF!,60),IF(#REF!/10&gt;5,MOD(#REF!,50),IF(#REF!/10&gt;4,MOD(#REF!,40),IF(#REF!/10&gt;3,MOD(#REF!,30),IF(#REF!/10&gt;2,MOD(#REF!,20),MOD(#REF!,100)))))))))</formula>
    </cfRule>
  </conditionalFormatting>
  <conditionalFormatting sqref="A194">
    <cfRule type="expression" priority="154">
      <formula>IF(MOD(A208,10)&lt;10,MOD(A208,10),IF(A208/10&gt;8,MOD(A208,80),IF(A208/10&gt;7,MOD(A208,70),IF(A208/10&gt;6,MOD(A208,60),IF(A208/10&gt;5,MOD(A208,50),IF(A208/10&gt;4,MOD(A208,40),IF(A208/10&gt;3,MOD(A208,30),IF(A208/10&gt;2,MOD(A208,20),MOD(A208,100)))))))))</formula>
    </cfRule>
  </conditionalFormatting>
  <conditionalFormatting sqref="A189:A190 A139:A140 A144:A146 A116 A149 A152 A155 A158 A161 A164 A168">
    <cfRule type="expression" priority="153">
      <formula>IF(MOD(#REF!,10)&lt;10,MOD(#REF!,10),IF(#REF!/10&gt;8,MOD(#REF!,80),IF(#REF!/10&gt;7,MOD(#REF!,70),IF(#REF!/10&gt;6,MOD(#REF!,60),IF(#REF!/10&gt;5,MOD(#REF!,50),IF(#REF!/10&gt;4,MOD(#REF!,40),IF(#REF!/10&gt;3,MOD(#REF!,30),IF(#REF!/10&gt;2,MOD(#REF!,20),MOD(#REF!,100)))))))))</formula>
    </cfRule>
  </conditionalFormatting>
  <conditionalFormatting sqref="A144">
    <cfRule type="expression" priority="152">
      <formula>IF(MOD(A164,10)&lt;10,MOD(A164,10),IF(A164/10&gt;8,MOD(A164,80),IF(A164/10&gt;7,MOD(A164,70),IF(A164/10&gt;6,MOD(A164,60),IF(A164/10&gt;5,MOD(A164,50),IF(A164/10&gt;4,MOD(A164,40),IF(A164/10&gt;3,MOD(A164,30),IF(A164/10&gt;2,MOD(A164,20),MOD(A164,100)))))))))</formula>
    </cfRule>
  </conditionalFormatting>
  <conditionalFormatting sqref="A195">
    <cfRule type="expression" priority="151">
      <formula>IF(MOD(A326,10)&lt;10,MOD(A326,10),IF(A326/10&gt;8,MOD(A326,80),IF(A326/10&gt;7,MOD(A326,70),IF(A326/10&gt;6,MOD(A326,60),IF(A326/10&gt;5,MOD(A326,50),IF(A326/10&gt;4,MOD(A326,40),IF(A326/10&gt;3,MOD(A326,30),IF(A326/10&gt;2,MOD(A326,20),MOD(A326,100)))))))))</formula>
    </cfRule>
  </conditionalFormatting>
  <conditionalFormatting sqref="E189 E182:E186 E180 E177 E215:E216 E175 E172:E173 E157:E158 E153 E132:E134 E129:E130 E141:E143 E238:E239 E234 E375">
    <cfRule type="expression" dxfId="302" priority="150">
      <formula>IF(ISBLANK(E129),FALSE,IF(IF(ISNUMBER($G$8),IF(YEAR(TODAY())-$G$8&lt;=E129,FALSE,TRUE),FALSE),TRUE,IF(ISNUMBER($E$8),IF(YEAR(TODAY())-$E$8&lt;E129,TRUE,FALSE),FALSE)))</formula>
    </cfRule>
  </conditionalFormatting>
  <conditionalFormatting sqref="A244:A246 A235:A238 A220 A173 A171 A148 A137 A131 A151 A154 A156:A157 A160 A163 A166 A175 A177 A179 A181 A183 A185 A187:A189 A191:A193 A196 A198:A200 A202 A204:A206 A208 A210:A213">
    <cfRule type="expression" priority="148">
      <formula>IF(MOD(#REF!,10)&lt;10,MOD(#REF!,10),IF(#REF!/10&gt;8,MOD(#REF!,80),IF(#REF!/10&gt;7,MOD(#REF!,70),IF(#REF!/10&gt;6,MOD(#REF!,60),IF(#REF!/10&gt;5,MOD(#REF!,50),IF(#REF!/10&gt;4,MOD(#REF!,40),IF(#REF!/10&gt;3,MOD(#REF!,30),IF(#REF!/10&gt;2,MOD(#REF!,20),MOD(#REF!,100)))))))))</formula>
    </cfRule>
  </conditionalFormatting>
  <conditionalFormatting sqref="A404:A405">
    <cfRule type="expression" priority="147">
      <formula>IF(MOD(A460,10)&lt;10,MOD(A460,10),IF(A460/10&gt;8,MOD(A460,80),IF(A460/10&gt;7,MOD(A460,70),IF(A460/10&gt;6,MOD(A460,60),IF(A460/10&gt;5,MOD(A460,50),IF(A460/10&gt;4,MOD(A460,40),IF(A460/10&gt;3,MOD(A460,30),IF(A460/10&gt;2,MOD(A460,20),MOD(A460,100)))))))))</formula>
    </cfRule>
  </conditionalFormatting>
  <conditionalFormatting sqref="A392:A393 A385:A386">
    <cfRule type="expression" priority="145">
      <formula>IF(MOD(A436,10)&lt;10,MOD(A436,10),IF(A436/10&gt;8,MOD(A436,80),IF(A436/10&gt;7,MOD(A436,70),IF(A436/10&gt;6,MOD(A436,60),IF(A436/10&gt;5,MOD(A436,50),IF(A436/10&gt;4,MOD(A436,40),IF(A436/10&gt;3,MOD(A436,30),IF(A436/10&gt;2,MOD(A436,20),MOD(A436,100)))))))))</formula>
    </cfRule>
  </conditionalFormatting>
  <conditionalFormatting sqref="A383">
    <cfRule type="expression" priority="143">
      <formula>IF(MOD(A435,10)&lt;10,MOD(A435,10),IF(A435/10&gt;8,MOD(A435,80),IF(A435/10&gt;7,MOD(A435,70),IF(A435/10&gt;6,MOD(A435,60),IF(A435/10&gt;5,MOD(A435,50),IF(A435/10&gt;4,MOD(A435,40),IF(A435/10&gt;3,MOD(A435,30),IF(A435/10&gt;2,MOD(A435,20),MOD(A435,100)))))))))</formula>
    </cfRule>
  </conditionalFormatting>
  <conditionalFormatting sqref="A379:A381">
    <cfRule type="expression" priority="141">
      <formula>IF(MOD(A429,10)&lt;10,MOD(A429,10),IF(A429/10&gt;8,MOD(A429,80),IF(A429/10&gt;7,MOD(A429,70),IF(A429/10&gt;6,MOD(A429,60),IF(A429/10&gt;5,MOD(A429,50),IF(A429/10&gt;4,MOD(A429,40),IF(A429/10&gt;3,MOD(A429,30),IF(A429/10&gt;2,MOD(A429,20),MOD(A429,100)))))))))</formula>
    </cfRule>
  </conditionalFormatting>
  <conditionalFormatting sqref="C375">
    <cfRule type="duplicateValues" dxfId="301" priority="140"/>
  </conditionalFormatting>
  <conditionalFormatting sqref="A463:A466">
    <cfRule type="expression" priority="135">
      <formula>IF(MOD(A529,10)&lt;10,MOD(A529,10),IF(A529/10&gt;8,MOD(A529,80),IF(A529/10&gt;7,MOD(A529,70),IF(A529/10&gt;6,MOD(A529,60),IF(A529/10&gt;5,MOD(A529,50),IF(A529/10&gt;4,MOD(A529,40),IF(A529/10&gt;3,MOD(A529,30),IF(A529/10&gt;2,MOD(A529,20),MOD(A529,100)))))))))</formula>
    </cfRule>
  </conditionalFormatting>
  <conditionalFormatting sqref="C472:C473">
    <cfRule type="duplicateValues" dxfId="300" priority="134"/>
  </conditionalFormatting>
  <conditionalFormatting sqref="B215">
    <cfRule type="expression" dxfId="299" priority="133">
      <formula>IF(#REF!&lt;&gt;$H$6,IF(#REF!&lt;&gt;$H$7,IF(#REF!&lt;&gt;$H$8,IF(#REF!&lt;&gt;$I$6,IF(B215&lt;&gt;$I$7,IF(#REF!&lt;&gt;$I$8,IF(#REF!&lt;&gt;$L$6,IF(#REF!&lt;&gt;$L$7,IF(#REF!&lt;&gt;$L$8,IF(#REF!&lt;&gt;$N$6,IF(#REF!&lt;&gt;$N$7,TRUE)))))))))))</formula>
    </cfRule>
  </conditionalFormatting>
  <conditionalFormatting sqref="A378">
    <cfRule type="expression" priority="132">
      <formula>IF(MOD(#REF!,10)&lt;10,MOD(#REF!,10),IF(#REF!/10&gt;8,MOD(#REF!,80),IF(#REF!/10&gt;7,MOD(#REF!,70),IF(#REF!/10&gt;6,MOD(#REF!,60),IF(#REF!/10&gt;5,MOD(#REF!,50),IF(#REF!/10&gt;4,MOD(#REF!,40),IF(#REF!/10&gt;3,MOD(#REF!,30),IF(#REF!/10&gt;2,MOD(#REF!,20),MOD(#REF!,100)))))))))</formula>
    </cfRule>
  </conditionalFormatting>
  <conditionalFormatting sqref="E464:E469 E449 E217 E379:E390 E406 E374:E377 E360:E371 E394 E219 E247:E299 E122:E123 E241:E242 E231:E232">
    <cfRule type="expression" dxfId="298" priority="131">
      <formula>IF(ISBLANK(E122),FALSE,IF(IF(ISNUMBER($E$8),IF(YEAR(TODAY())-$E$8&lt;=E122,FALSE,TRUE),FALSE),TRUE,IF(ISNUMBER($H$8),IF(YEAR(TODAY())-$H$8&lt;E122,TRUE,FALSE),FALSE)))</formula>
    </cfRule>
  </conditionalFormatting>
  <conditionalFormatting sqref="G122:G124">
    <cfRule type="expression" dxfId="297" priority="130">
      <formula>IF(G122&gt;($H$6+$H$7-#REF!),IF((G122+#REF!)&gt;($H$6+$H$7),TRUE,))</formula>
    </cfRule>
  </conditionalFormatting>
  <conditionalFormatting sqref="B217 B124 B376 B388 B393 B386 B249 B226">
    <cfRule type="expression" dxfId="296" priority="129">
      <formula>IF(#REF!&lt;&gt;$I$6,IF(#REF!&lt;&gt;$I$7,IF(#REF!&lt;&gt;$I$8,IF(#REF!&lt;&gt;$J$6,IF(#REF!&lt;&gt;$J$7,IF(#REF!&lt;&gt;$J$8,IF(#REF!&lt;&gt;#REF!,IF(#REF!&lt;&gt;#REF!,IF(#REF!&lt;&gt;#REF!,IF(#REF!&lt;&gt;#REF!,IF(#REF!&lt;&gt;#REF!,TRUE)))))))))))</formula>
    </cfRule>
  </conditionalFormatting>
  <conditionalFormatting sqref="A125 A127 A129 A131 A133 A116 A119">
    <cfRule type="expression" priority="127">
      <formula>IF(MOD(A149,10)&lt;10,MOD(A149,10),IF(A149/10&gt;8,MOD(A149,80),IF(A149/10&gt;7,MOD(A149,70),IF(A149/10&gt;6,MOD(A149,60),IF(A149/10&gt;5,MOD(A149,50),IF(A149/10&gt;4,MOD(A149,40),IF(A149/10&gt;3,MOD(A149,30),IF(A149/10&gt;2,MOD(A149,20),MOD(A149,100)))))))))</formula>
    </cfRule>
  </conditionalFormatting>
  <conditionalFormatting sqref="A375:A376 A165 A231:A232 A147 A150 A153 A156 A159 A162 A247:A299">
    <cfRule type="expression" priority="126">
      <formula>IF(MOD(#REF!,10)&lt;10,MOD(#REF!,10),IF(#REF!/10&gt;8,MOD(#REF!,80),IF(#REF!/10&gt;7,MOD(#REF!,70),IF(#REF!/10&gt;6,MOD(#REF!,60),IF(#REF!/10&gt;5,MOD(#REF!,50),IF(#REF!/10&gt;4,MOD(#REF!,40),IF(#REF!/10&gt;3,MOD(#REF!,30),IF(#REF!/10&gt;2,MOD(#REF!,20),MOD(#REF!,100)))))))))</formula>
    </cfRule>
  </conditionalFormatting>
  <conditionalFormatting sqref="A109 A112 A115 A118">
    <cfRule type="expression" priority="125">
      <formula>IF(MOD(#REF!,10)&lt;10,MOD(#REF!,10),IF(#REF!/10&gt;8,MOD(#REF!,80),IF(#REF!/10&gt;7,MOD(#REF!,70),IF(#REF!/10&gt;6,MOD(#REF!,60),IF(#REF!/10&gt;5,MOD(#REF!,50),IF(#REF!/10&gt;4,MOD(#REF!,40),IF(#REF!/10&gt;3,MOD(#REF!,30),IF(#REF!/10&gt;2,MOD(#REF!,20),MOD(#REF!,100)))))))))</formula>
    </cfRule>
  </conditionalFormatting>
  <conditionalFormatting sqref="B219">
    <cfRule type="expression" dxfId="295" priority="124">
      <formula>IF(#REF!&lt;&gt;$I$6,IF(#REF!&lt;&gt;$I$7,IF(#REF!&lt;&gt;$I$8,IF(#REF!&lt;&gt;$J$6,IF(#REF!&lt;&gt;$J$7,IF(#REF!&lt;&gt;$J$8,IF(#REF!&lt;&gt;#REF!,IF(#REF!&lt;&gt;#REF!,IF(#REF!&lt;&gt;#REF!,IF(#REF!&lt;&gt;#REF!,IF(#REF!&lt;&gt;#REF!,TRUE)))))))))))</formula>
    </cfRule>
  </conditionalFormatting>
  <conditionalFormatting sqref="B231">
    <cfRule type="expression" dxfId="294" priority="123">
      <formula>IF(#REF!&lt;&gt;$I$6,IF(#REF!&lt;&gt;$I$7,IF(#REF!&lt;&gt;$I$8,IF(#REF!&lt;&gt;$J$6,IF(#REF!&lt;&gt;$J$7,IF(#REF!&lt;&gt;$J$8,IF(#REF!&lt;&gt;#REF!,IF(#REF!&lt;&gt;#REF!,IF(#REF!&lt;&gt;#REF!,IF(#REF!&lt;&gt;#REF!,IF(#REF!&lt;&gt;#REF!,TRUE)))))))))))</formula>
    </cfRule>
  </conditionalFormatting>
  <conditionalFormatting sqref="B380">
    <cfRule type="expression" dxfId="293" priority="119">
      <formula>IF(#REF!&lt;&gt;$I$6,IF(#REF!&lt;&gt;$I$7,IF(#REF!&lt;&gt;$I$8,IF(#REF!&lt;&gt;$J$6,IF(#REF!&lt;&gt;$J$7,IF(#REF!&lt;&gt;$J$8,IF(#REF!&lt;&gt;#REF!,IF(#REF!&lt;&gt;#REF!,IF(#REF!&lt;&gt;#REF!,IF(#REF!&lt;&gt;#REF!,IF(#REF!&lt;&gt;#REF!,TRUE)))))))))))</formula>
    </cfRule>
  </conditionalFormatting>
  <conditionalFormatting sqref="A389">
    <cfRule type="expression" priority="118">
      <formula>IF(MOD(#REF!,10)&lt;10,MOD(#REF!,10),IF(#REF!/10&gt;8,MOD(#REF!,80),IF(#REF!/10&gt;7,MOD(#REF!,70),IF(#REF!/10&gt;6,MOD(#REF!,60),IF(#REF!/10&gt;5,MOD(#REF!,50),IF(#REF!/10&gt;4,MOD(#REF!,40),IF(#REF!/10&gt;3,MOD(#REF!,30),IF(#REF!/10&gt;2,MOD(#REF!,20),MOD(#REF!,100)))))))))</formula>
    </cfRule>
  </conditionalFormatting>
  <conditionalFormatting sqref="B204">
    <cfRule type="expression" dxfId="292" priority="115">
      <formula>IF(#REF!&lt;&gt;$I$6,IF(#REF!&lt;&gt;$I$7,IF(#REF!&lt;&gt;$I$8,IF(#REF!&lt;&gt;$J$6,IF(#REF!&lt;&gt;$J$7,IF(#REF!&lt;&gt;$J$8,IF(#REF!&lt;&gt;#REF!,IF(#REF!&lt;&gt;#REF!,IF(#REF!&lt;&gt;#REF!,IF(#REF!&lt;&gt;#REF!,IF(#REF!&lt;&gt;#REF!,TRUE)))))))))))</formula>
    </cfRule>
  </conditionalFormatting>
  <conditionalFormatting sqref="A241">
    <cfRule type="expression" priority="114">
      <formula>IF(MOD(#REF!,10)&lt;10,MOD(#REF!,10),IF(#REF!/10&gt;8,MOD(#REF!,80),IF(#REF!/10&gt;7,MOD(#REF!,70),IF(#REF!/10&gt;6,MOD(#REF!,60),IF(#REF!/10&gt;5,MOD(#REF!,50),IF(#REF!/10&gt;4,MOD(#REF!,40),IF(#REF!/10&gt;3,MOD(#REF!,30),IF(#REF!/10&gt;2,MOD(#REF!,20),MOD(#REF!,100)))))))))</formula>
    </cfRule>
  </conditionalFormatting>
  <conditionalFormatting sqref="A388">
    <cfRule type="expression" priority="113">
      <formula>IF(MOD(A439,10)&lt;10,MOD(A439,10),IF(A439/10&gt;8,MOD(A439,80),IF(A439/10&gt;7,MOD(A439,70),IF(A439/10&gt;6,MOD(A439,60),IF(A439/10&gt;5,MOD(A439,50),IF(A439/10&gt;4,MOD(A439,40),IF(A439/10&gt;3,MOD(A439,30),IF(A439/10&gt;2,MOD(A439,20),MOD(A439,100)))))))))</formula>
    </cfRule>
  </conditionalFormatting>
  <conditionalFormatting sqref="A384">
    <cfRule type="expression" priority="111">
      <formula>IF(MOD(#REF!,10)&lt;10,MOD(#REF!,10),IF(#REF!/10&gt;8,MOD(#REF!,80),IF(#REF!/10&gt;7,MOD(#REF!,70),IF(#REF!/10&gt;6,MOD(#REF!,60),IF(#REF!/10&gt;5,MOD(#REF!,50),IF(#REF!/10&gt;4,MOD(#REF!,40),IF(#REF!/10&gt;3,MOD(#REF!,30),IF(#REF!/10&gt;2,MOD(#REF!,20),MOD(#REF!,100)))))))))</formula>
    </cfRule>
  </conditionalFormatting>
  <conditionalFormatting sqref="A122:A123">
    <cfRule type="expression" priority="110">
      <formula>IF(MOD(A155,10)&lt;10,MOD(A155,10),IF(A155/10&gt;8,MOD(A155,80),IF(A155/10&gt;7,MOD(A155,70),IF(A155/10&gt;6,MOD(A155,60),IF(A155/10&gt;5,MOD(A155,50),IF(A155/10&gt;4,MOD(A155,40),IF(A155/10&gt;3,MOD(A155,30),IF(A155/10&gt;2,MOD(A155,20),MOD(A155,100)))))))))</formula>
    </cfRule>
  </conditionalFormatting>
  <conditionalFormatting sqref="A117">
    <cfRule type="expression" priority="109">
      <formula>IF(MOD(A150,10)&lt;10,MOD(A150,10),IF(A150/10&gt;8,MOD(A150,80),IF(A150/10&gt;7,MOD(A150,70),IF(A150/10&gt;6,MOD(A150,60),IF(A150/10&gt;5,MOD(A150,50),IF(A150/10&gt;4,MOD(A150,40),IF(A150/10&gt;3,MOD(A150,30),IF(A150/10&gt;2,MOD(A150,20),MOD(A150,100)))))))))</formula>
    </cfRule>
  </conditionalFormatting>
  <conditionalFormatting sqref="A221:A223">
    <cfRule type="expression" priority="108">
      <formula>IF(MOD(A343,10)&lt;10,MOD(A343,10),IF(A343/10&gt;8,MOD(A343,80),IF(A343/10&gt;7,MOD(A343,70),IF(A343/10&gt;6,MOD(A343,60),IF(A343/10&gt;5,MOD(A343,50),IF(A343/10&gt;4,MOD(A343,40),IF(A343/10&gt;3,MOD(A343,30),IF(A343/10&gt;2,MOD(A343,20),MOD(A343,100)))))))))</formula>
    </cfRule>
  </conditionalFormatting>
  <conditionalFormatting sqref="A233 A225:A227 A216 A207 A201 A194 A134:A135 A128:A129 A121">
    <cfRule type="expression" priority="107">
      <formula>IF(MOD(#REF!,10)&lt;10,MOD(#REF!,10),IF(#REF!/10&gt;8,MOD(#REF!,80),IF(#REF!/10&gt;7,MOD(#REF!,70),IF(#REF!/10&gt;6,MOD(#REF!,60),IF(#REF!/10&gt;5,MOD(#REF!,50),IF(#REF!/10&gt;4,MOD(#REF!,40),IF(#REF!/10&gt;3,MOD(#REF!,30),IF(#REF!/10&gt;2,MOD(#REF!,20),MOD(#REF!,100)))))))))</formula>
    </cfRule>
  </conditionalFormatting>
  <conditionalFormatting sqref="B177 B133">
    <cfRule type="expression" dxfId="291" priority="104">
      <formula>IF(#REF!&lt;&gt;$H$6,IF(#REF!&lt;&gt;$H$7,IF(#REF!&lt;&gt;$H$8,IF(#REF!&lt;&gt;$I$6,IF(B133&lt;&gt;$I$7,IF(#REF!&lt;&gt;$I$8,IF(#REF!&lt;&gt;$L$6,IF(#REF!&lt;&gt;$L$7,IF(#REF!&lt;&gt;$L$8,IF(#REF!&lt;&gt;$N$6,IF(#REF!&lt;&gt;$N$7,TRUE)))))))))))</formula>
    </cfRule>
  </conditionalFormatting>
  <conditionalFormatting sqref="A116">
    <cfRule type="expression" priority="102">
      <formula>IF(MOD(A148,10)&lt;10,MOD(A148,10),IF(A148/10&gt;8,MOD(A148,80),IF(A148/10&gt;7,MOD(A148,70),IF(A148/10&gt;6,MOD(A148,60),IF(A148/10&gt;5,MOD(A148,50),IF(A148/10&gt;4,MOD(A148,40),IF(A148/10&gt;3,MOD(A148,30),IF(A148/10&gt;2,MOD(A148,20),MOD(A148,100)))))))))</formula>
    </cfRule>
  </conditionalFormatting>
  <conditionalFormatting sqref="B238 B198 B200 B195 B182:B185 B140 B138 B134 B132 B130">
    <cfRule type="expression" dxfId="290" priority="101">
      <formula>IF(#REF!&lt;&gt;$H$6,IF(#REF!&lt;&gt;$H$7,IF(#REF!&lt;&gt;$H$8,IF(#REF!&lt;&gt;$I$6,IF(B130&lt;&gt;$I$7,IF(#REF!&lt;&gt;$I$8,IF(#REF!&lt;&gt;$L$6,IF(#REF!&lt;&gt;$L$7,IF(#REF!&lt;&gt;$L$8,IF(#REF!&lt;&gt;$N$6,IF(#REF!&lt;&gt;$N$7,TRUE)))))))))))</formula>
    </cfRule>
  </conditionalFormatting>
  <conditionalFormatting sqref="A150:A152">
    <cfRule type="expression" priority="94">
      <formula>IF(MOD(A188,10)&lt;10,MOD(A188,10),IF(A188/10&gt;8,MOD(A188,80),IF(A188/10&gt;7,MOD(A188,70),IF(A188/10&gt;6,MOD(A188,60),IF(A188/10&gt;5,MOD(A188,50),IF(A188/10&gt;4,MOD(A188,40),IF(A188/10&gt;3,MOD(A188,30),IF(A188/10&gt;2,MOD(A188,20),MOD(A188,100)))))))))</formula>
    </cfRule>
  </conditionalFormatting>
  <conditionalFormatting sqref="A185:A187 A177:A179 A167:A168 A160:A161 A153:A155 A208:A210 A200:A202">
    <cfRule type="expression" priority="93">
      <formula>IF(MOD(#REF!,10)&lt;10,MOD(#REF!,10),IF(#REF!/10&gt;8,MOD(#REF!,80),IF(#REF!/10&gt;7,MOD(#REF!,70),IF(#REF!/10&gt;6,MOD(#REF!,60),IF(#REF!/10&gt;5,MOD(#REF!,50),IF(#REF!/10&gt;4,MOD(#REF!,40),IF(#REF!/10&gt;3,MOD(#REF!,30),IF(#REF!/10&gt;2,MOD(#REF!,20),MOD(#REF!,100)))))))))</formula>
    </cfRule>
  </conditionalFormatting>
  <conditionalFormatting sqref="A157:A159">
    <cfRule type="expression" priority="92">
      <formula>IF(MOD(A194,10)&lt;10,MOD(A194,10),IF(A194/10&gt;8,MOD(A194,80),IF(A194/10&gt;7,MOD(A194,70),IF(A194/10&gt;6,MOD(A194,60),IF(A194/10&gt;5,MOD(A194,50),IF(A194/10&gt;4,MOD(A194,40),IF(A194/10&gt;3,MOD(A194,30),IF(A194/10&gt;2,MOD(A194,20),MOD(A194,100)))))))))</formula>
    </cfRule>
  </conditionalFormatting>
  <conditionalFormatting sqref="A164:A166">
    <cfRule type="expression" priority="91">
      <formula>IF(MOD(A202,10)&lt;10,MOD(A202,10),IF(A202/10&gt;8,MOD(A202,80),IF(A202/10&gt;7,MOD(A202,70),IF(A202/10&gt;6,MOD(A202,60),IF(A202/10&gt;5,MOD(A202,50),IF(A202/10&gt;4,MOD(A202,40),IF(A202/10&gt;3,MOD(A202,30),IF(A202/10&gt;2,MOD(A202,20),MOD(A202,100)))))))))</formula>
    </cfRule>
  </conditionalFormatting>
  <conditionalFormatting sqref="A162">
    <cfRule type="expression" priority="90">
      <formula>IF(MOD(A201,10)&lt;10,MOD(A201,10),IF(A201/10&gt;8,MOD(A201,80),IF(A201/10&gt;7,MOD(A201,70),IF(A201/10&gt;6,MOD(A201,60),IF(A201/10&gt;5,MOD(A201,50),IF(A201/10&gt;4,MOD(A201,40),IF(A201/10&gt;3,MOD(A201,30),IF(A201/10&gt;2,MOD(A201,20),MOD(A201,100)))))))))</formula>
    </cfRule>
  </conditionalFormatting>
  <conditionalFormatting sqref="K177">
    <cfRule type="expression" dxfId="289" priority="89">
      <formula>IF(K177&gt;$G$6,TRUE)</formula>
    </cfRule>
  </conditionalFormatting>
  <conditionalFormatting sqref="B172">
    <cfRule type="expression" dxfId="288" priority="88">
      <formula>IF(#REF!&lt;&gt;$H$6,IF(#REF!&lt;&gt;$H$7,IF(#REF!&lt;&gt;$H$8,IF(#REF!&lt;&gt;$I$6,IF(B172&lt;&gt;$I$7,IF(#REF!&lt;&gt;$I$8,IF(#REF!&lt;&gt;$L$6,IF(#REF!&lt;&gt;$L$7,IF(#REF!&lt;&gt;$L$8,IF(#REF!&lt;&gt;$N$6,IF(#REF!&lt;&gt;$N$7,TRUE)))))))))))</formula>
    </cfRule>
  </conditionalFormatting>
  <conditionalFormatting sqref="B216">
    <cfRule type="expression" dxfId="287" priority="85">
      <formula>IF(#REF!&lt;&gt;$H$6,IF(#REF!&lt;&gt;$H$7,IF(#REF!&lt;&gt;$H$8,IF(#REF!&lt;&gt;$I$6,IF(B216&lt;&gt;$I$7,IF(#REF!&lt;&gt;$I$8,IF(#REF!&lt;&gt;$L$6,IF(#REF!&lt;&gt;$L$7,IF(#REF!&lt;&gt;$L$8,IF(#REF!&lt;&gt;$N$6,IF(#REF!&lt;&gt;$N$7,TRUE)))))))))))</formula>
    </cfRule>
  </conditionalFormatting>
  <conditionalFormatting sqref="A151:A152">
    <cfRule type="expression" priority="82">
      <formula>IF(MOD(A215,10)&lt;10,MOD(A215,10),IF(A215/10&gt;8,MOD(A215,80),IF(A215/10&gt;7,MOD(A215,70),IF(A215/10&gt;6,MOD(A215,60),IF(A215/10&gt;5,MOD(A215,50),IF(A215/10&gt;4,MOD(A215,40),IF(A215/10&gt;3,MOD(A215,30),IF(A215/10&gt;2,MOD(A215,20),MOD(A215,100)))))))))</formula>
    </cfRule>
  </conditionalFormatting>
  <conditionalFormatting sqref="A176 A178 A174 A203">
    <cfRule type="expression" priority="81">
      <formula>IF(MOD(A236,10)&lt;10,MOD(A236,10),IF(A236/10&gt;8,MOD(A236,80),IF(A236/10&gt;7,MOD(A236,70),IF(A236/10&gt;6,MOD(A236,60),IF(A236/10&gt;5,MOD(A236,50),IF(A236/10&gt;4,MOD(A236,40),IF(A236/10&gt;3,MOD(A236,30),IF(A236/10&gt;2,MOD(A236,20),MOD(A236,100)))))))))</formula>
    </cfRule>
  </conditionalFormatting>
  <conditionalFormatting sqref="B199">
    <cfRule type="expression" dxfId="286" priority="80">
      <formula>IF(#REF!&lt;&gt;$H$6,IF(#REF!&lt;&gt;$H$7,IF(#REF!&lt;&gt;$H$8,IF(#REF!&lt;&gt;$I$6,IF(B199&lt;&gt;$I$7,IF(#REF!&lt;&gt;$I$8,IF(#REF!&lt;&gt;$L$6,IF(#REF!&lt;&gt;$L$7,IF(#REF!&lt;&gt;$L$8,IF(#REF!&lt;&gt;$N$6,IF(#REF!&lt;&gt;$N$7,TRUE)))))))))))</formula>
    </cfRule>
  </conditionalFormatting>
  <conditionalFormatting sqref="A180 A259 A261">
    <cfRule type="expression" priority="78">
      <formula>IF(MOD(A243,10)&lt;10,MOD(A243,10),IF(A243/10&gt;8,MOD(A243,80),IF(A243/10&gt;7,MOD(A243,70),IF(A243/10&gt;6,MOD(A243,60),IF(A243/10&gt;5,MOD(A243,50),IF(A243/10&gt;4,MOD(A243,40),IF(A243/10&gt;3,MOD(A243,30),IF(A243/10&gt;2,MOD(A243,20),MOD(A243,100)))))))))</formula>
    </cfRule>
  </conditionalFormatting>
  <conditionalFormatting sqref="B196">
    <cfRule type="expression" dxfId="285" priority="77">
      <formula>IF(#REF!&lt;&gt;$H$6,IF(#REF!&lt;&gt;$H$7,IF(#REF!&lt;&gt;$H$8,IF(#REF!&lt;&gt;$I$6,IF(B196&lt;&gt;$I$7,IF(#REF!&lt;&gt;$I$8,IF(#REF!&lt;&gt;$L$6,IF(#REF!&lt;&gt;$L$7,IF(#REF!&lt;&gt;$L$8,IF(#REF!&lt;&gt;$N$6,IF(#REF!&lt;&gt;$N$7,TRUE)))))))))))</formula>
    </cfRule>
  </conditionalFormatting>
  <conditionalFormatting sqref="A226:A229 A233">
    <cfRule type="expression" priority="76">
      <formula>IF(MOD(A346,10)&lt;10,MOD(A346,10),IF(A346/10&gt;8,MOD(A346,80),IF(A346/10&gt;7,MOD(A346,70),IF(A346/10&gt;6,MOD(A346,60),IF(A346/10&gt;5,MOD(A346,50),IF(A346/10&gt;4,MOD(A346,40),IF(A346/10&gt;3,MOD(A346,30),IF(A346/10&gt;2,MOD(A346,20),MOD(A346,100)))))))))</formula>
    </cfRule>
  </conditionalFormatting>
  <conditionalFormatting sqref="A224 A234">
    <cfRule type="expression" priority="74">
      <formula>IF(MOD(A345,10)&lt;10,MOD(A345,10),IF(A345/10&gt;8,MOD(A345,80),IF(A345/10&gt;7,MOD(A345,70),IF(A345/10&gt;6,MOD(A345,60),IF(A345/10&gt;5,MOD(A345,50),IF(A345/10&gt;4,MOD(A345,40),IF(A345/10&gt;3,MOD(A345,30),IF(A345/10&gt;2,MOD(A345,20),MOD(A345,100)))))))))</formula>
    </cfRule>
  </conditionalFormatting>
  <conditionalFormatting sqref="B233">
    <cfRule type="expression" dxfId="284" priority="73">
      <formula>IF(#REF!&lt;&gt;$H$6,IF(#REF!&lt;&gt;$H$7,IF(#REF!&lt;&gt;$H$8,IF(#REF!&lt;&gt;$I$6,IF(#REF!&lt;&gt;$I$7,IF(#REF!&lt;&gt;$I$8,IF(#REF!&lt;&gt;$L$6,IF(#REF!&lt;&gt;$L$7,IF(#REF!&lt;&gt;$L$8,IF(#REF!&lt;&gt;#REF!,IF(#REF!&lt;&gt;$N$45,TRUE)))))))))))</formula>
    </cfRule>
  </conditionalFormatting>
  <conditionalFormatting sqref="A242">
    <cfRule type="expression" priority="71">
      <formula>IF(MOD(A364,10)&lt;10,MOD(A364,10),IF(A364/10&gt;8,MOD(A364,80),IF(A364/10&gt;7,MOD(A364,70),IF(A364/10&gt;6,MOD(A364,60),IF(A364/10&gt;5,MOD(A364,50),IF(A364/10&gt;4,MOD(A364,40),IF(A364/10&gt;3,MOD(A364,30),IF(A364/10&gt;2,MOD(A364,20),MOD(A364,100)))))))))</formula>
    </cfRule>
  </conditionalFormatting>
  <conditionalFormatting sqref="A239:A240">
    <cfRule type="expression" priority="68">
      <formula>IF(MOD(A364,10)&lt;10,MOD(A364,10),IF(A364/10&gt;8,MOD(A364,80),IF(A364/10&gt;7,MOD(A364,70),IF(A364/10&gt;6,MOD(A364,60),IF(A364/10&gt;5,MOD(A364,50),IF(A364/10&gt;4,MOD(A364,40),IF(A364/10&gt;3,MOD(A364,30),IF(A364/10&gt;2,MOD(A364,20),MOD(A364,100)))))))))</formula>
    </cfRule>
  </conditionalFormatting>
  <conditionalFormatting sqref="A143">
    <cfRule type="expression" priority="67">
      <formula>IF(MOD(A147,10)&lt;10,MOD(A147,10),IF(A147/10&gt;8,MOD(A147,80),IF(A147/10&gt;7,MOD(A147,70),IF(A147/10&gt;6,MOD(A147,60),IF(A147/10&gt;5,MOD(A147,50),IF(A147/10&gt;4,MOD(A147,40),IF(A147/10&gt;3,MOD(A147,30),IF(A147/10&gt;2,MOD(A147,20),MOD(A147,100)))))))))</formula>
    </cfRule>
  </conditionalFormatting>
  <conditionalFormatting sqref="B141">
    <cfRule type="expression" dxfId="283" priority="66">
      <formula>IF(#REF!&lt;&gt;$H$6,IF(#REF!&lt;&gt;$H$7,IF(#REF!&lt;&gt;$H$8,IF(#REF!&lt;&gt;$I$6,IF(B141&lt;&gt;$I$7,IF(#REF!&lt;&gt;$I$8,IF(#REF!&lt;&gt;$L$6,IF(#REF!&lt;&gt;$L$7,IF(#REF!&lt;&gt;$L$8,IF(#REF!&lt;&gt;$N$6,IF(#REF!&lt;&gt;$N$7,TRUE)))))))))))</formula>
    </cfRule>
  </conditionalFormatting>
  <conditionalFormatting sqref="A202:A204">
    <cfRule type="expression" priority="63">
      <formula>IF(MOD(A304,10)&lt;10,MOD(A304,10),IF(A304/10&gt;8,MOD(A304,80),IF(A304/10&gt;7,MOD(A304,70),IF(A304/10&gt;6,MOD(A304,60),IF(A304/10&gt;5,MOD(A304,50),IF(A304/10&gt;4,MOD(A304,40),IF(A304/10&gt;3,MOD(A304,30),IF(A304/10&gt;2,MOD(A304,20),MOD(A304,100)))))))))</formula>
    </cfRule>
  </conditionalFormatting>
  <conditionalFormatting sqref="C106:C107">
    <cfRule type="duplicateValues" dxfId="282" priority="62"/>
  </conditionalFormatting>
  <conditionalFormatting sqref="A111:A112">
    <cfRule type="expression" priority="61">
      <formula>IF(MOD(A133,10)&lt;10,MOD(A133,10),IF(A133/10&gt;8,MOD(A133,80),IF(A133/10&gt;7,MOD(A133,70),IF(A133/10&gt;6,MOD(A133,60),IF(A133/10&gt;5,MOD(A133,50),IF(A133/10&gt;4,MOD(A133,40),IF(A133/10&gt;3,MOD(A133,30),IF(A133/10&gt;2,MOD(A133,20),MOD(A133,100)))))))))</formula>
    </cfRule>
  </conditionalFormatting>
  <conditionalFormatting sqref="A118 A166">
    <cfRule type="expression" priority="59">
      <formula>IF(MOD(#REF!,10)&lt;10,MOD(#REF!,10),IF(#REF!/10&gt;8,MOD(#REF!,80),IF(#REF!/10&gt;7,MOD(#REF!,70),IF(#REF!/10&gt;6,MOD(#REF!,60),IF(#REF!/10&gt;5,MOD(#REF!,50),IF(#REF!/10&gt;4,MOD(#REF!,40),IF(#REF!/10&gt;3,MOD(#REF!,30),IF(#REF!/10&gt;2,MOD(#REF!,20),MOD(#REF!,100)))))))))</formula>
    </cfRule>
  </conditionalFormatting>
  <conditionalFormatting sqref="A120">
    <cfRule type="expression" priority="58">
      <formula>IF(MOD(A136,10)&lt;10,MOD(A136,10),IF(A136/10&gt;8,MOD(A136,80),IF(A136/10&gt;7,MOD(A136,70),IF(A136/10&gt;6,MOD(A136,60),IF(A136/10&gt;5,MOD(A136,50),IF(A136/10&gt;4,MOD(A136,40),IF(A136/10&gt;3,MOD(A136,30),IF(A136/10&gt;2,MOD(A136,20),MOD(A136,100)))))))))</formula>
    </cfRule>
  </conditionalFormatting>
  <conditionalFormatting sqref="A163:A164">
    <cfRule type="expression" priority="49">
      <formula>IF(MOD(A174,10)&lt;10,MOD(A174,10),IF(A174/10&gt;8,MOD(A174,80),IF(A174/10&gt;7,MOD(A174,70),IF(A174/10&gt;6,MOD(A174,60),IF(A174/10&gt;5,MOD(A174,50),IF(A174/10&gt;4,MOD(A174,40),IF(A174/10&gt;3,MOD(A174,30),IF(A174/10&gt;2,MOD(A174,20),MOD(A174,100)))))))))</formula>
    </cfRule>
  </conditionalFormatting>
  <conditionalFormatting sqref="A214:A215">
    <cfRule type="expression" priority="48">
      <formula>IF(MOD(A212,10)&lt;10,MOD(A212,10),IF(A212/10&gt;8,MOD(A212,80),IF(A212/10&gt;7,MOD(A212,70),IF(A212/10&gt;6,MOD(A212,60),IF(A212/10&gt;5,MOD(A212,50),IF(A212/10&gt;4,MOD(A212,40),IF(A212/10&gt;3,MOD(A212,30),IF(A212/10&gt;2,MOD(A212,20),MOD(A212,100)))))))))</formula>
    </cfRule>
  </conditionalFormatting>
  <conditionalFormatting sqref="A145:A146 A149 A152 A155 A158 A161 A164 A168">
    <cfRule type="expression" priority="47">
      <formula>IF(MOD(#REF!,10)&lt;10,MOD(#REF!,10),IF(#REF!/10&gt;8,MOD(#REF!,80),IF(#REF!/10&gt;7,MOD(#REF!,70),IF(#REF!/10&gt;6,MOD(#REF!,60),IF(#REF!/10&gt;5,MOD(#REF!,50),IF(#REF!/10&gt;4,MOD(#REF!,40),IF(#REF!/10&gt;3,MOD(#REF!,30),IF(#REF!/10&gt;2,MOD(#REF!,20),MOD(#REF!,100)))))))))</formula>
    </cfRule>
  </conditionalFormatting>
  <conditionalFormatting sqref="A154">
    <cfRule type="expression" priority="46">
      <formula>IF(MOD(#REF!,10)&lt;10,MOD(#REF!,10),IF(#REF!/10&gt;8,MOD(#REF!,80),IF(#REF!/10&gt;7,MOD(#REF!,70),IF(#REF!/10&gt;6,MOD(#REF!,60),IF(#REF!/10&gt;5,MOD(#REF!,50),IF(#REF!/10&gt;4,MOD(#REF!,40),IF(#REF!/10&gt;3,MOD(#REF!,30),IF(#REF!/10&gt;2,MOD(#REF!,20),MOD(#REF!,100)))))))))</formula>
    </cfRule>
  </conditionalFormatting>
  <conditionalFormatting sqref="A154">
    <cfRule type="expression" priority="45">
      <formula>IF(MOD(#REF!,10)&lt;10,MOD(#REF!,10),IF(#REF!/10&gt;8,MOD(#REF!,80),IF(#REF!/10&gt;7,MOD(#REF!,70),IF(#REF!/10&gt;6,MOD(#REF!,60),IF(#REF!/10&gt;5,MOD(#REF!,50),IF(#REF!/10&gt;4,MOD(#REF!,40),IF(#REF!/10&gt;3,MOD(#REF!,30),IF(#REF!/10&gt;2,MOD(#REF!,20),MOD(#REF!,100)))))))))</formula>
    </cfRule>
  </conditionalFormatting>
  <conditionalFormatting sqref="B234">
    <cfRule type="expression" dxfId="281" priority="43">
      <formula>IF($B232&lt;&gt;$H$6,IF($B232&lt;&gt;$H$7,IF($B232&lt;&gt;$H$8,IF($B232&lt;&gt;$I$6,IF(B234&lt;&gt;$I$7,IF($B232&lt;&gt;$I$8,IF($B232&lt;&gt;$L$6,IF($B232&lt;&gt;$L$7,IF($B232&lt;&gt;$L$8,IF($B232&lt;&gt;$N$6,IF($B232&lt;&gt;$N$7,TRUE)))))))))))</formula>
    </cfRule>
  </conditionalFormatting>
  <conditionalFormatting sqref="A189:A191 A197">
    <cfRule type="expression" priority="42">
      <formula>IF(MOD(A308,10)&lt;10,MOD(A308,10),IF(A308/10&gt;8,MOD(A308,80),IF(A308/10&gt;7,MOD(A308,70),IF(A308/10&gt;6,MOD(A308,60),IF(A308/10&gt;5,MOD(A308,50),IF(A308/10&gt;4,MOD(A308,40),IF(A308/10&gt;3,MOD(A308,30),IF(A308/10&gt;2,MOD(A308,20),MOD(A308,100)))))))))</formula>
    </cfRule>
  </conditionalFormatting>
  <conditionalFormatting sqref="A186 A138 A117 A141:A142 A209">
    <cfRule type="expression" priority="40">
      <formula>IF(MOD(#REF!,10)&lt;10,MOD(#REF!,10),IF(#REF!/10&gt;8,MOD(#REF!,80),IF(#REF!/10&gt;7,MOD(#REF!,70),IF(#REF!/10&gt;6,MOD(#REF!,60),IF(#REF!/10&gt;5,MOD(#REF!,50),IF(#REF!/10&gt;4,MOD(#REF!,40),IF(#REF!/10&gt;3,MOD(#REF!,30),IF(#REF!/10&gt;2,MOD(#REF!,20),MOD(#REF!,100)))))))))</formula>
    </cfRule>
  </conditionalFormatting>
  <conditionalFormatting sqref="A197">
    <cfRule type="expression" priority="39">
      <formula>IF(MOD(#REF!,10)&lt;10,MOD(#REF!,10),IF(#REF!/10&gt;8,MOD(#REF!,80),IF(#REF!/10&gt;7,MOD(#REF!,70),IF(#REF!/10&gt;6,MOD(#REF!,60),IF(#REF!/10&gt;5,MOD(#REF!,50),IF(#REF!/10&gt;4,MOD(#REF!,40),IF(#REF!/10&gt;3,MOD(#REF!,30),IF(#REF!/10&gt;2,MOD(#REF!,20),MOD(#REF!,100)))))))))</formula>
    </cfRule>
  </conditionalFormatting>
  <conditionalFormatting sqref="A198">
    <cfRule type="expression" priority="38">
      <formula>IF(MOD(A207,10)&lt;10,MOD(A207,10),IF(A207/10&gt;8,MOD(A207,80),IF(A207/10&gt;7,MOD(A207,70),IF(A207/10&gt;6,MOD(A207,60),IF(A207/10&gt;5,MOD(A207,50),IF(A207/10&gt;4,MOD(A207,40),IF(A207/10&gt;3,MOD(A207,30),IF(A207/10&gt;2,MOD(A207,20),MOD(A207,100)))))))))</formula>
    </cfRule>
  </conditionalFormatting>
  <conditionalFormatting sqref="B389">
    <cfRule type="expression" dxfId="280" priority="36">
      <formula>IF($E356&lt;&gt;$I$6,IF($E356&lt;&gt;$I$7,IF($E356&lt;&gt;$I$8,IF($E356&lt;&gt;$J$6,IF($E356&lt;&gt;$J$7,IF($E356&lt;&gt;$J$8,IF($E356&lt;&gt;#REF!,IF($E356&lt;&gt;#REF!,IF($E356&lt;&gt;#REF!,IF($E356&lt;&gt;#REF!,IF($E356&lt;&gt;#REF!,TRUE)))))))))))</formula>
    </cfRule>
  </conditionalFormatting>
  <conditionalFormatting sqref="B381 B384">
    <cfRule type="expression" dxfId="279" priority="35">
      <formula>IF($E347&lt;&gt;$I$6,IF($E347&lt;&gt;$I$7,IF($E347&lt;&gt;$I$8,IF($E347&lt;&gt;$J$6,IF($E347&lt;&gt;$J$7,IF($E347&lt;&gt;$J$8,IF($E347&lt;&gt;#REF!,IF($E347&lt;&gt;#REF!,IF($E347&lt;&gt;#REF!,IF($E347&lt;&gt;#REF!,IF($E347&lt;&gt;#REF!,TRUE)))))))))))</formula>
    </cfRule>
  </conditionalFormatting>
  <conditionalFormatting sqref="B394">
    <cfRule type="expression" dxfId="278" priority="34">
      <formula>IF($E358&lt;&gt;$I$6,IF($E358&lt;&gt;$I$7,IF($E358&lt;&gt;$I$8,IF($E358&lt;&gt;$J$6,IF($E358&lt;&gt;$J$7,IF($E358&lt;&gt;$J$8,IF($E358&lt;&gt;#REF!,IF($E358&lt;&gt;#REF!,IF($E358&lt;&gt;#REF!,IF($E358&lt;&gt;#REF!,IF($E358&lt;&gt;#REF!,TRUE)))))))))))</formula>
    </cfRule>
  </conditionalFormatting>
  <conditionalFormatting sqref="B378:B379">
    <cfRule type="expression" dxfId="277" priority="32">
      <formula>IF($E348&lt;&gt;$I$6,IF($E348&lt;&gt;$I$7,IF($E348&lt;&gt;$I$8,IF($E348&lt;&gt;$J$6,IF($E348&lt;&gt;$J$7,IF($E348&lt;&gt;$J$8,IF($E348&lt;&gt;#REF!,IF($E348&lt;&gt;#REF!,IF($E348&lt;&gt;#REF!,IF($E348&lt;&gt;#REF!,IF($E348&lt;&gt;#REF!,TRUE)))))))))))</formula>
    </cfRule>
  </conditionalFormatting>
  <conditionalFormatting sqref="C227:C228 C223:C224">
    <cfRule type="duplicateValues" dxfId="276" priority="31"/>
  </conditionalFormatting>
  <conditionalFormatting sqref="A230 A220:A221 A243">
    <cfRule type="expression" priority="30">
      <formula>IF(MOD(A343,10)&lt;10,MOD(A343,10),IF(A343/10&gt;8,MOD(A343,80),IF(A343/10&gt;7,MOD(A343,70),IF(A343/10&gt;6,MOD(A343,60),IF(A343/10&gt;5,MOD(A343,50),IF(A343/10&gt;4,MOD(A343,40),IF(A343/10&gt;3,MOD(A343,30),IF(A343/10&gt;2,MOD(A343,20),MOD(A343,100)))))))))</formula>
    </cfRule>
  </conditionalFormatting>
  <conditionalFormatting sqref="A218:A219 A228:A229">
    <cfRule type="expression" priority="29">
      <formula>IF(MOD(A342,10)&lt;10,MOD(A342,10),IF(A342/10&gt;8,MOD(A342,80),IF(A342/10&gt;7,MOD(A342,70),IF(A342/10&gt;6,MOD(A342,60),IF(A342/10&gt;5,MOD(A342,50),IF(A342/10&gt;4,MOD(A342,40),IF(A342/10&gt;3,MOD(A342,30),IF(A342/10&gt;2,MOD(A342,20),MOD(A342,100)))))))))</formula>
    </cfRule>
  </conditionalFormatting>
  <conditionalFormatting sqref="A161">
    <cfRule type="expression" priority="28">
      <formula>IF(MOD(A174,10)&lt;10,MOD(A174,10),IF(A174/10&gt;8,MOD(A174,80),IF(A174/10&gt;7,MOD(A174,70),IF(A174/10&gt;6,MOD(A174,60),IF(A174/10&gt;5,MOD(A174,50),IF(A174/10&gt;4,MOD(A174,40),IF(A174/10&gt;3,MOD(A174,30),IF(A174/10&gt;2,MOD(A174,20),MOD(A174,100)))))))))</formula>
    </cfRule>
  </conditionalFormatting>
  <conditionalFormatting sqref="H244 H238:H239 H233:H234">
    <cfRule type="expression" dxfId="275" priority="25">
      <formula>IF(ISNUMBER(H233),IF(((YEAR(TODAY()))-12)&gt;=E233,FALSE,TRUE))</formula>
    </cfRule>
  </conditionalFormatting>
  <conditionalFormatting sqref="A230:A232">
    <cfRule type="expression" priority="23">
      <formula>IF(MOD(A349,10)&lt;10,MOD(A349,10),IF(A349/10&gt;8,MOD(A349,80),IF(A349/10&gt;7,MOD(A349,70),IF(A349/10&gt;6,MOD(A349,60),IF(A349/10&gt;5,MOD(A349,50),IF(A349/10&gt;4,MOD(A349,40),IF(A349/10&gt;3,MOD(A349,30),IF(A349/10&gt;2,MOD(A349,20),MOD(A349,100)))))))))</formula>
    </cfRule>
  </conditionalFormatting>
  <conditionalFormatting sqref="A247">
    <cfRule type="expression" priority="21">
      <formula>IF(MOD(A304,10)&lt;10,MOD(A304,10),IF(A304/10&gt;8,MOD(A304,80),IF(A304/10&gt;7,MOD(A304,70),IF(A304/10&gt;6,MOD(A304,60),IF(A304/10&gt;5,MOD(A304,50),IF(A304/10&gt;4,MOD(A304,40),IF(A304/10&gt;3,MOD(A304,30),IF(A304/10&gt;2,MOD(A304,20),MOD(A304,100)))))))))</formula>
    </cfRule>
  </conditionalFormatting>
  <conditionalFormatting sqref="A113 A172 A209">
    <cfRule type="expression" priority="351">
      <formula>IF(MOD(#REF!,10)&lt;10,MOD(#REF!,10),IF(#REF!/10&gt;8,MOD(#REF!,80),IF(#REF!/10&gt;7,MOD(#REF!,70),IF(#REF!/10&gt;6,MOD(#REF!,60),IF(#REF!/10&gt;5,MOD(#REF!,50),IF(#REF!/10&gt;4,MOD(#REF!,40),IF(#REF!/10&gt;3,MOD(#REF!,30),IF(#REF!/10&gt;2,MOD(#REF!,20),MOD(#REF!,100)))))))))</formula>
    </cfRule>
  </conditionalFormatting>
  <conditionalFormatting sqref="A114">
    <cfRule type="expression" priority="355">
      <formula>IF(MOD(A133,10)&lt;10,MOD(A133,10),IF(A133/10&gt;8,MOD(A133,80),IF(A133/10&gt;7,MOD(A133,70),IF(A133/10&gt;6,MOD(A133,60),IF(A133/10&gt;5,MOD(A133,50),IF(A133/10&gt;4,MOD(A133,40),IF(A133/10&gt;3,MOD(A133,30),IF(A133/10&gt;2,MOD(A133,20),MOD(A133,100)))))))))</formula>
    </cfRule>
  </conditionalFormatting>
  <conditionalFormatting sqref="A114 A117">
    <cfRule type="expression" priority="357">
      <formula>IF(MOD(A148,10)&lt;10,MOD(A148,10),IF(A148/10&gt;8,MOD(A148,80),IF(A148/10&gt;7,MOD(A148,70),IF(A148/10&gt;6,MOD(A148,60),IF(A148/10&gt;5,MOD(A148,50),IF(A148/10&gt;4,MOD(A148,40),IF(A148/10&gt;3,MOD(A148,30),IF(A148/10&gt;2,MOD(A148,20),MOD(A148,100)))))))))</formula>
    </cfRule>
  </conditionalFormatting>
  <conditionalFormatting sqref="A128 A130 A132 A134 A136 A138">
    <cfRule type="expression" priority="381">
      <formula>IF(MOD(#REF!,10)&lt;10,MOD(#REF!,10),IF(#REF!/10&gt;8,MOD(#REF!,80),IF(#REF!/10&gt;7,MOD(#REF!,70),IF(#REF!/10&gt;6,MOD(#REF!,60),IF(#REF!/10&gt;5,MOD(#REF!,50),IF(#REF!/10&gt;4,MOD(#REF!,40),IF(#REF!/10&gt;3,MOD(#REF!,30),IF(#REF!/10&gt;2,MOD(#REF!,20),MOD(#REF!,100)))))))))</formula>
    </cfRule>
  </conditionalFormatting>
  <conditionalFormatting sqref="A134 A136 A138 A140">
    <cfRule type="expression" priority="454">
      <formula>IF(MOD(#REF!,10)&lt;10,MOD(#REF!,10),IF(#REF!/10&gt;8,MOD(#REF!,80),IF(#REF!/10&gt;7,MOD(#REF!,70),IF(#REF!/10&gt;6,MOD(#REF!,60),IF(#REF!/10&gt;5,MOD(#REF!,50),IF(#REF!/10&gt;4,MOD(#REF!,40),IF(#REF!/10&gt;3,MOD(#REF!,30),IF(#REF!/10&gt;2,MOD(#REF!,20),MOD(#REF!,100)))))))))</formula>
    </cfRule>
  </conditionalFormatting>
  <conditionalFormatting sqref="A110:A113">
    <cfRule type="expression" priority="495">
      <formula>IF(MOD(#REF!,10)&lt;10,MOD(#REF!,10),IF(#REF!/10&gt;8,MOD(#REF!,80),IF(#REF!/10&gt;7,MOD(#REF!,70),IF(#REF!/10&gt;6,MOD(#REF!,60),IF(#REF!/10&gt;5,MOD(#REF!,50),IF(#REF!/10&gt;4,MOD(#REF!,40),IF(#REF!/10&gt;3,MOD(#REF!,30),IF(#REF!/10&gt;2,MOD(#REF!,20),MOD(#REF!,100)))))))))</formula>
    </cfRule>
  </conditionalFormatting>
  <conditionalFormatting sqref="A143">
    <cfRule type="expression" priority="514">
      <formula>IF(MOD(A148,10)&lt;10,MOD(A148,10),IF(A148/10&gt;8,MOD(A148,80),IF(A148/10&gt;7,MOD(A148,70),IF(A148/10&gt;6,MOD(A148,60),IF(A148/10&gt;5,MOD(A148,50),IF(A148/10&gt;4,MOD(A148,40),IF(A148/10&gt;3,MOD(A148,30),IF(A148/10&gt;2,MOD(A148,20),MOD(A148,100)))))))))</formula>
    </cfRule>
  </conditionalFormatting>
  <conditionalFormatting sqref="A111 A108">
    <cfRule type="expression" priority="523">
      <formula>IF(MOD(#REF!,10)&lt;10,MOD(#REF!,10),IF(#REF!/10&gt;8,MOD(#REF!,80),IF(#REF!/10&gt;7,MOD(#REF!,70),IF(#REF!/10&gt;6,MOD(#REF!,60),IF(#REF!/10&gt;5,MOD(#REF!,50),IF(#REF!/10&gt;4,MOD(#REF!,40),IF(#REF!/10&gt;3,MOD(#REF!,30),IF(#REF!/10&gt;2,MOD(#REF!,20),MOD(#REF!,100)))))))))</formula>
    </cfRule>
  </conditionalFormatting>
  <conditionalFormatting sqref="A126">
    <cfRule type="expression" priority="884">
      <formula>IF(MOD(A167,10)&lt;10,MOD(A167,10),IF(A167/10&gt;8,MOD(A167,80),IF(A167/10&gt;7,MOD(A167,70),IF(A167/10&gt;6,MOD(A167,60),IF(A167/10&gt;5,MOD(A167,50),IF(A167/10&gt;4,MOD(A167,40),IF(A167/10&gt;3,MOD(A167,30),IF(A167/10&gt;2,MOD(A167,20),MOD(A167,100)))))))))</formula>
    </cfRule>
  </conditionalFormatting>
  <conditionalFormatting sqref="A166 A211">
    <cfRule type="expression" priority="898">
      <formula>IF(MOD(A183,10)&lt;10,MOD(A183,10),IF(A183/10&gt;8,MOD(A183,80),IF(A183/10&gt;7,MOD(A183,70),IF(A183/10&gt;6,MOD(A183,60),IF(A183/10&gt;5,MOD(A183,50),IF(A183/10&gt;4,MOD(A183,40),IF(A183/10&gt;3,MOD(A183,30),IF(A183/10&gt;2,MOD(A183,20),MOD(A183,100)))))))))</formula>
    </cfRule>
  </conditionalFormatting>
  <conditionalFormatting sqref="A133 A136 A127">
    <cfRule type="expression" priority="1076">
      <formula>IF(MOD(#REF!,10)&lt;10,MOD(#REF!,10),IF(#REF!/10&gt;8,MOD(#REF!,80),IF(#REF!/10&gt;7,MOD(#REF!,70),IF(#REF!/10&gt;6,MOD(#REF!,60),IF(#REF!/10&gt;5,MOD(#REF!,50),IF(#REF!/10&gt;4,MOD(#REF!,40),IF(#REF!/10&gt;3,MOD(#REF!,30),IF(#REF!/10&gt;2,MOD(#REF!,20),MOD(#REF!,100)))))))))</formula>
    </cfRule>
  </conditionalFormatting>
  <conditionalFormatting sqref="A215:A216">
    <cfRule type="expression" priority="1108">
      <formula>IF(MOD(A194,10)&lt;10,MOD(A194,10),IF(A194/10&gt;8,MOD(A194,80),IF(A194/10&gt;7,MOD(A194,70),IF(A194/10&gt;6,MOD(A194,60),IF(A194/10&gt;5,MOD(A194,50),IF(A194/10&gt;4,MOD(A194,40),IF(A194/10&gt;3,MOD(A194,30),IF(A194/10&gt;2,MOD(A194,20),MOD(A194,100)))))))))</formula>
    </cfRule>
  </conditionalFormatting>
  <conditionalFormatting sqref="A156:A157 A154 A159">
    <cfRule type="expression" priority="1116">
      <formula>IF(MOD(#REF!,10)&lt;10,MOD(#REF!,10),IF(#REF!/10&gt;8,MOD(#REF!,80),IF(#REF!/10&gt;7,MOD(#REF!,70),IF(#REF!/10&gt;6,MOD(#REF!,60),IF(#REF!/10&gt;5,MOD(#REF!,50),IF(#REF!/10&gt;4,MOD(#REF!,40),IF(#REF!/10&gt;3,MOD(#REF!,30),IF(#REF!/10&gt;2,MOD(#REF!,20),MOD(#REF!,100)))))))))</formula>
    </cfRule>
  </conditionalFormatting>
  <conditionalFormatting sqref="A207 A149">
    <cfRule type="expression" priority="1181">
      <formula>IF(MOD(#REF!,10)&lt;10,MOD(#REF!,10),IF(#REF!/10&gt;8,MOD(#REF!,80),IF(#REF!/10&gt;7,MOD(#REF!,70),IF(#REF!/10&gt;6,MOD(#REF!,60),IF(#REF!/10&gt;5,MOD(#REF!,50),IF(#REF!/10&gt;4,MOD(#REF!,40),IF(#REF!/10&gt;3,MOD(#REF!,30),IF(#REF!/10&gt;2,MOD(#REF!,20),MOD(#REF!,100)))))))))</formula>
    </cfRule>
  </conditionalFormatting>
  <conditionalFormatting sqref="A138:A140">
    <cfRule type="expression" priority="1278">
      <formula>IF(MOD(#REF!,10)&lt;10,MOD(#REF!,10),IF(#REF!/10&gt;8,MOD(#REF!,80),IF(#REF!/10&gt;7,MOD(#REF!,70),IF(#REF!/10&gt;6,MOD(#REF!,60),IF(#REF!/10&gt;5,MOD(#REF!,50),IF(#REF!/10&gt;4,MOD(#REF!,40),IF(#REF!/10&gt;3,MOD(#REF!,30),IF(#REF!/10&gt;2,MOD(#REF!,20),MOD(#REF!,100)))))))))</formula>
    </cfRule>
  </conditionalFormatting>
  <conditionalFormatting sqref="A132">
    <cfRule type="expression" priority="1622">
      <formula>IF(MOD(A215,10)&lt;10,MOD(A215,10),IF(A215/10&gt;8,MOD(A215,80),IF(A215/10&gt;7,MOD(A215,70),IF(A215/10&gt;6,MOD(A215,60),IF(A215/10&gt;5,MOD(A215,50),IF(A215/10&gt;4,MOD(A215,40),IF(A215/10&gt;3,MOD(A215,30),IF(A215/10&gt;2,MOD(A215,20),MOD(A215,100)))))))))</formula>
    </cfRule>
  </conditionalFormatting>
  <conditionalFormatting sqref="A130">
    <cfRule type="expression" priority="1635">
      <formula>IF(MOD(A214,10)&lt;10,MOD(A214,10),IF(A214/10&gt;8,MOD(A214,80),IF(A214/10&gt;7,MOD(A214,70),IF(A214/10&gt;6,MOD(A214,60),IF(A214/10&gt;5,MOD(A214,50),IF(A214/10&gt;4,MOD(A214,40),IF(A214/10&gt;3,MOD(A214,30),IF(A214/10&gt;2,MOD(A214,20),MOD(A214,100)))))))))</formula>
    </cfRule>
  </conditionalFormatting>
  <conditionalFormatting sqref="A169:A170">
    <cfRule type="expression" priority="1648">
      <formula>IF(MOD(A214,10)&lt;10,MOD(A214,10),IF(A214/10&gt;8,MOD(A214,80),IF(A214/10&gt;7,MOD(A214,70),IF(A214/10&gt;6,MOD(A214,60),IF(A214/10&gt;5,MOD(A214,50),IF(A214/10&gt;4,MOD(A214,40),IF(A214/10&gt;3,MOD(A214,30),IF(A214/10&gt;2,MOD(A214,20),MOD(A214,100)))))))))</formula>
    </cfRule>
  </conditionalFormatting>
  <conditionalFormatting sqref="A162 A164">
    <cfRule type="expression" priority="1768">
      <formula>IF(MOD(A172,10)&lt;10,MOD(A172,10),IF(A172/10&gt;8,MOD(A172,80),IF(A172/10&gt;7,MOD(A172,70),IF(A172/10&gt;6,MOD(A172,60),IF(A172/10&gt;5,MOD(A172,50),IF(A172/10&gt;4,MOD(A172,40),IF(A172/10&gt;3,MOD(A172,30),IF(A172/10&gt;2,MOD(A172,20),MOD(A172,100)))))))))</formula>
    </cfRule>
  </conditionalFormatting>
  <conditionalFormatting sqref="A141">
    <cfRule type="expression" priority="1811">
      <formula>IF(MOD(A215,10)&lt;10,MOD(A215,10),IF(A215/10&gt;8,MOD(A215,80),IF(A215/10&gt;7,MOD(A215,70),IF(A215/10&gt;6,MOD(A215,60),IF(A215/10&gt;5,MOD(A215,50),IF(A215/10&gt;4,MOD(A215,40),IF(A215/10&gt;3,MOD(A215,30),IF(A215/10&gt;2,MOD(A215,20),MOD(A215,100)))))))))</formula>
    </cfRule>
  </conditionalFormatting>
  <conditionalFormatting sqref="A174:A176 A182:A184 A205:A207 A260">
    <cfRule type="expression" priority="2124">
      <formula>IF(MOD(A235,10)&lt;10,MOD(A235,10),IF(A235/10&gt;8,MOD(A235,80),IF(A235/10&gt;7,MOD(A235,70),IF(A235/10&gt;6,MOD(A235,60),IF(A235/10&gt;5,MOD(A235,50),IF(A235/10&gt;4,MOD(A235,40),IF(A235/10&gt;3,MOD(A235,30),IF(A235/10&gt;2,MOD(A235,20),MOD(A235,100)))))))))</formula>
    </cfRule>
  </conditionalFormatting>
  <conditionalFormatting sqref="A182">
    <cfRule type="expression" priority="2478">
      <formula>IF(MOD(#REF!,10)&lt;10,MOD(#REF!,10),IF(#REF!/10&gt;8,MOD(#REF!,80),IF(#REF!/10&gt;7,MOD(#REF!,70),IF(#REF!/10&gt;6,MOD(#REF!,60),IF(#REF!/10&gt;5,MOD(#REF!,50),IF(#REF!/10&gt;4,MOD(#REF!,40),IF(#REF!/10&gt;3,MOD(#REF!,30),IF(#REF!/10&gt;2,MOD(#REF!,20),MOD(#REF!,100)))))))))</formula>
    </cfRule>
  </conditionalFormatting>
  <conditionalFormatting sqref="A208">
    <cfRule type="expression" priority="2867">
      <formula>IF(MOD(A234,10)&lt;10,MOD(A234,10),IF(A234/10&gt;8,MOD(A234,80),IF(A234/10&gt;7,MOD(A234,70),IF(A234/10&gt;6,MOD(A234,60),IF(A234/10&gt;5,MOD(A234,50),IF(A234/10&gt;4,MOD(A234,40),IF(A234/10&gt;3,MOD(A234,30),IF(A234/10&gt;2,MOD(A234,20),MOD(A234,100)))))))))</formula>
    </cfRule>
  </conditionalFormatting>
  <conditionalFormatting sqref="A197:A199">
    <cfRule type="expression" priority="2868">
      <formula>IF(MOD(A256,10)&lt;10,MOD(A256,10),IF(A256/10&gt;8,MOD(A256,80),IF(A256/10&gt;7,MOD(A256,70),IF(A256/10&gt;6,MOD(A256,60),IF(A256/10&gt;5,MOD(A256,50),IF(A256/10&gt;4,MOD(A256,40),IF(A256/10&gt;3,MOD(A256,30),IF(A256/10&gt;2,MOD(A256,20),MOD(A256,100)))))))))</formula>
    </cfRule>
  </conditionalFormatting>
  <conditionalFormatting sqref="A180">
    <cfRule type="expression" priority="3197">
      <formula>IF(MOD(A242,10)&lt;10,MOD(A242,10),IF(A242/10&gt;8,MOD(A242,80),IF(A242/10&gt;7,MOD(A242,70),IF(A242/10&gt;6,MOD(A242,60),IF(A242/10&gt;5,MOD(A242,50),IF(A242/10&gt;4,MOD(A242,40),IF(A242/10&gt;3,MOD(A242,30),IF(A242/10&gt;2,MOD(A242,20),MOD(A242,100)))))))))</formula>
    </cfRule>
  </conditionalFormatting>
  <conditionalFormatting sqref="A190 A192 A194:A195 A197 A199 A201 A203 A205 A207 A209 A211 A184 A186 A188">
    <cfRule type="expression" priority="3711">
      <formula>IF(MOD(A244,10)&lt;10,MOD(A244,10),IF(A244/10&gt;8,MOD(A244,80),IF(A244/10&gt;7,MOD(A244,70),IF(A244/10&gt;6,MOD(A244,60),IF(A244/10&gt;5,MOD(A244,50),IF(A244/10&gt;4,MOD(A244,40),IF(A244/10&gt;3,MOD(A244,30),IF(A244/10&gt;2,MOD(A244,20),MOD(A244,100)))))))))</formula>
    </cfRule>
  </conditionalFormatting>
  <conditionalFormatting sqref="A123">
    <cfRule type="expression" priority="8036">
      <formula>IF(MOD(#REF!,10)&lt;10,MOD(#REF!,10),IF(#REF!/10&gt;8,MOD(#REF!,80),IF(#REF!/10&gt;7,MOD(#REF!,70),IF(#REF!/10&gt;6,MOD(#REF!,60),IF(#REF!/10&gt;5,MOD(#REF!,50),IF(#REF!/10&gt;4,MOD(#REF!,40),IF(#REF!/10&gt;3,MOD(#REF!,30),IF(#REF!/10&gt;2,MOD(#REF!,20),MOD(#REF!,100)))))))))</formula>
    </cfRule>
  </conditionalFormatting>
  <conditionalFormatting sqref="A130">
    <cfRule type="expression" priority="8037">
      <formula>IF(MOD(#REF!,10)&lt;10,MOD(#REF!,10),IF(#REF!/10&gt;8,MOD(#REF!,80),IF(#REF!/10&gt;7,MOD(#REF!,70),IF(#REF!/10&gt;6,MOD(#REF!,60),IF(#REF!/10&gt;5,MOD(#REF!,50),IF(#REF!/10&gt;4,MOD(#REF!,40),IF(#REF!/10&gt;3,MOD(#REF!,30),IF(#REF!/10&gt;2,MOD(#REF!,20),MOD(#REF!,100)))))))))</formula>
    </cfRule>
  </conditionalFormatting>
  <conditionalFormatting sqref="A140">
    <cfRule type="expression" priority="8048">
      <formula>IF(MOD(A148,10)&lt;10,MOD(A148,10),IF(A148/10&gt;8,MOD(A148,80),IF(A148/10&gt;7,MOD(A148,70),IF(A148/10&gt;6,MOD(A148,60),IF(A148/10&gt;5,MOD(A148,50),IF(A148/10&gt;4,MOD(A148,40),IF(A148/10&gt;3,MOD(A148,30),IF(A148/10&gt;2,MOD(A148,20),MOD(A148,100)))))))))</formula>
    </cfRule>
  </conditionalFormatting>
  <conditionalFormatting sqref="A196">
    <cfRule type="expression" priority="8320">
      <formula>IF(MOD(#REF!,10)&lt;10,MOD(#REF!,10),IF(#REF!/10&gt;8,MOD(#REF!,80),IF(#REF!/10&gt;7,MOD(#REF!,70),IF(#REF!/10&gt;6,MOD(#REF!,60),IF(#REF!/10&gt;5,MOD(#REF!,50),IF(#REF!/10&gt;4,MOD(#REF!,40),IF(#REF!/10&gt;3,MOD(#REF!,30),IF(#REF!/10&gt;2,MOD(#REF!,20),MOD(#REF!,100)))))))))</formula>
    </cfRule>
  </conditionalFormatting>
  <conditionalFormatting sqref="A246">
    <cfRule type="expression" priority="8406">
      <formula>IF(MOD(A334,10)&lt;10,MOD(A334,10),IF(A334/10&gt;8,MOD(A334,80),IF(A334/10&gt;7,MOD(A334,70),IF(A334/10&gt;6,MOD(A334,60),IF(A334/10&gt;5,MOD(A334,50),IF(A334/10&gt;4,MOD(A334,40),IF(A334/10&gt;3,MOD(A334,30),IF(A334/10&gt;2,MOD(A334,20),MOD(A334,100)))))))))</formula>
    </cfRule>
  </conditionalFormatting>
  <conditionalFormatting sqref="A362:A370">
    <cfRule type="expression" priority="14">
      <formula>IF(MOD(A409,10)&lt;10,MOD(A409,10),IF(A409/10&gt;8,MOD(A409,80),IF(A409/10&gt;7,MOD(A409,70),IF(A409/10&gt;6,MOD(A409,60),IF(A409/10&gt;5,MOD(A409,50),IF(A409/10&gt;4,MOD(A409,40),IF(A409/10&gt;3,MOD(A409,30),IF(A409/10&gt;2,MOD(A409,20),MOD(A409,100)))))))))</formula>
    </cfRule>
  </conditionalFormatting>
  <conditionalFormatting sqref="A368:A372">
    <cfRule type="expression" priority="13">
      <formula>IF(MOD(A418,10)&lt;10,MOD(A418,10),IF(A418/10&gt;8,MOD(A418,80),IF(A418/10&gt;7,MOD(A418,70),IF(A418/10&gt;6,MOD(A418,60),IF(A418/10&gt;5,MOD(A418,50),IF(A418/10&gt;4,MOD(A418,40),IF(A418/10&gt;3,MOD(A418,30),IF(A418/10&gt;2,MOD(A418,20),MOD(A418,100)))))))))</formula>
    </cfRule>
  </conditionalFormatting>
  <conditionalFormatting sqref="A377">
    <cfRule type="expression" priority="12">
      <formula>IF(MOD(A428,10)&lt;10,MOD(A428,10),IF(A428/10&gt;8,MOD(A428,80),IF(A428/10&gt;7,MOD(A428,70),IF(A428/10&gt;6,MOD(A428,60),IF(A428/10&gt;5,MOD(A428,50),IF(A428/10&gt;4,MOD(A428,40),IF(A428/10&gt;3,MOD(A428,30),IF(A428/10&gt;2,MOD(A428,20),MOD(A428,100)))))))))</formula>
    </cfRule>
  </conditionalFormatting>
  <conditionalFormatting sqref="C388:C389">
    <cfRule type="duplicateValues" dxfId="274" priority="10"/>
  </conditionalFormatting>
  <conditionalFormatting sqref="B368:B369 B371">
    <cfRule type="expression" dxfId="273" priority="8">
      <formula>IF(#REF!&lt;&gt;$I$6,IF(#REF!&lt;&gt;$I$7,IF(#REF!&lt;&gt;$I$8,IF(#REF!&lt;&gt;$J$6,IF(#REF!&lt;&gt;$J$7,IF(#REF!&lt;&gt;$J$8,IF(#REF!&lt;&gt;#REF!,IF(#REF!&lt;&gt;#REF!,IF(#REF!&lt;&gt;#REF!,IF(#REF!&lt;&gt;#REF!,IF(#REF!&lt;&gt;#REF!,TRUE)))))))))))</formula>
    </cfRule>
  </conditionalFormatting>
  <conditionalFormatting sqref="A360:A361 A374:A383">
    <cfRule type="expression" priority="7">
      <formula>IF(MOD(A404,10)&lt;10,MOD(A404,10),IF(A404/10&gt;8,MOD(A404,80),IF(A404/10&gt;7,MOD(A404,70),IF(A404/10&gt;6,MOD(A404,60),IF(A404/10&gt;5,MOD(A404,50),IF(A404/10&gt;4,MOD(A404,40),IF(A404/10&gt;3,MOD(A404,30),IF(A404/10&gt;2,MOD(A404,20),MOD(A404,100)))))))))</formula>
    </cfRule>
  </conditionalFormatting>
  <conditionalFormatting sqref="B376">
    <cfRule type="expression" dxfId="272" priority="6">
      <formula>IF(#REF!&lt;&gt;$I$6,IF(#REF!&lt;&gt;$I$7,IF(#REF!&lt;&gt;$I$8,IF(#REF!&lt;&gt;$J$6,IF(#REF!&lt;&gt;$J$7,IF(#REF!&lt;&gt;$J$8,IF(#REF!&lt;&gt;#REF!,IF(#REF!&lt;&gt;#REF!,IF(#REF!&lt;&gt;#REF!,IF(#REF!&lt;&gt;#REF!,IF(#REF!&lt;&gt;#REF!,TRUE)))))))))))</formula>
    </cfRule>
  </conditionalFormatting>
  <conditionalFormatting sqref="B375">
    <cfRule type="expression" dxfId="271" priority="5">
      <formula>IF(#REF!&lt;&gt;$H$6,IF(#REF!&lt;&gt;$H$7,IF(#REF!&lt;&gt;$H$8,IF(#REF!&lt;&gt;$I$6,IF(B375&lt;&gt;$I$7,IF(#REF!&lt;&gt;$I$8,IF(#REF!&lt;&gt;$L$6,IF(#REF!&lt;&gt;$L$7,IF(#REF!&lt;&gt;$L$8,IF(#REF!&lt;&gt;$N$6,IF(#REF!&lt;&gt;$N$7,TRUE)))))))))))</formula>
    </cfRule>
  </conditionalFormatting>
  <conditionalFormatting sqref="A374:A375">
    <cfRule type="expression" priority="4">
      <formula>IF(MOD(A426,10)&lt;10,MOD(A426,10),IF(A426/10&gt;8,MOD(A426,80),IF(A426/10&gt;7,MOD(A426,70),IF(A426/10&gt;6,MOD(A426,60),IF(A426/10&gt;5,MOD(A426,50),IF(A426/10&gt;4,MOD(A426,40),IF(A426/10&gt;3,MOD(A426,30),IF(A426/10&gt;2,MOD(A426,20),MOD(A426,100)))))))))</formula>
    </cfRule>
  </conditionalFormatting>
  <conditionalFormatting sqref="A380:A383">
    <cfRule type="expression" priority="3">
      <formula>IF(MOD(A434,10)&lt;10,MOD(A434,10),IF(A434/10&gt;8,MOD(A434,80),IF(A434/10&gt;7,MOD(A434,70),IF(A434/10&gt;6,MOD(A434,60),IF(A434/10&gt;5,MOD(A434,50),IF(A434/10&gt;4,MOD(A434,40),IF(A434/10&gt;3,MOD(A434,30),IF(A434/10&gt;2,MOD(A434,20),MOD(A434,100)))))))))</formula>
    </cfRule>
  </conditionalFormatting>
  <conditionalFormatting sqref="A285:A299">
    <cfRule type="expression" priority="8487">
      <formula>IF(MOD(A403,10)&lt;10,MOD(A403,10),IF(A403/10&gt;8,MOD(A403,80),IF(A403/10&gt;7,MOD(A403,70),IF(A403/10&gt;6,MOD(A403,60),IF(A403/10&gt;5,MOD(A403,50),IF(A403/10&gt;4,MOD(A403,40),IF(A403/10&gt;3,MOD(A403,30),IF(A403/10&gt;2,MOD(A403,20),MOD(A403,100)))))))))</formula>
    </cfRule>
  </conditionalFormatting>
  <conditionalFormatting sqref="A277:A284">
    <cfRule type="expression" priority="8488">
      <formula>IF(MOD(#REF!,10)&lt;10,MOD(#REF!,10),IF(#REF!/10&gt;8,MOD(#REF!,80),IF(#REF!/10&gt;7,MOD(#REF!,70),IF(#REF!/10&gt;6,MOD(#REF!,60),IF(#REF!/10&gt;5,MOD(#REF!,50),IF(#REF!/10&gt;4,MOD(#REF!,40),IF(#REF!/10&gt;3,MOD(#REF!,30),IF(#REF!/10&gt;2,MOD(#REF!,20),MOD(#REF!,100)))))))))</formula>
    </cfRule>
  </conditionalFormatting>
  <conditionalFormatting sqref="A272:A275">
    <cfRule type="expression" priority="8490">
      <formula>IF(MOD(A399,10)&lt;10,MOD(A399,10),IF(A399/10&gt;8,MOD(A399,80),IF(A399/10&gt;7,MOD(A399,70),IF(A399/10&gt;6,MOD(A399,60),IF(A399/10&gt;5,MOD(A399,50),IF(A399/10&gt;4,MOD(A399,40),IF(A399/10&gt;3,MOD(A399,30),IF(A399/10&gt;2,MOD(A399,20),MOD(A399,100)))))))))</formula>
    </cfRule>
  </conditionalFormatting>
  <conditionalFormatting sqref="A371:A373">
    <cfRule type="expression" priority="8926">
      <formula>IF(MOD(#REF!,10)&lt;10,MOD(#REF!,10),IF(#REF!/10&gt;8,MOD(#REF!,80),IF(#REF!/10&gt;7,MOD(#REF!,70),IF(#REF!/10&gt;6,MOD(#REF!,60),IF(#REF!/10&gt;5,MOD(#REF!,50),IF(#REF!/10&gt;4,MOD(#REF!,40),IF(#REF!/10&gt;3,MOD(#REF!,30),IF(#REF!/10&gt;2,MOD(#REF!,20),MOD(#REF!,100)))))))))</formula>
    </cfRule>
  </conditionalFormatting>
  <conditionalFormatting sqref="A376">
    <cfRule type="expression" priority="9360">
      <formula>IF(MOD(#REF!,10)&lt;10,MOD(#REF!,10),IF(#REF!/10&gt;8,MOD(#REF!,80),IF(#REF!/10&gt;7,MOD(#REF!,70),IF(#REF!/10&gt;6,MOD(#REF!,60),IF(#REF!/10&gt;5,MOD(#REF!,50),IF(#REF!/10&gt;4,MOD(#REF!,40),IF(#REF!/10&gt;3,MOD(#REF!,30),IF(#REF!/10&gt;2,MOD(#REF!,20),MOD(#REF!,100)))))))))</formula>
    </cfRule>
  </conditionalFormatting>
  <conditionalFormatting sqref="A388:A397">
    <cfRule type="expression" priority="9366">
      <formula>IF(MOD(A428,10)&lt;10,MOD(A428,10),IF(A428/10&gt;8,MOD(A428,80),IF(A428/10&gt;7,MOD(A428,70),IF(A428/10&gt;6,MOD(A428,60),IF(A428/10&gt;5,MOD(A428,50),IF(A428/10&gt;4,MOD(A428,40),IF(A428/10&gt;3,MOD(A428,30),IF(A428/10&gt;2,MOD(A428,20),MOD(A428,100)))))))))</formula>
    </cfRule>
  </conditionalFormatting>
  <conditionalFormatting sqref="A384:A387">
    <cfRule type="expression" priority="9367">
      <formula>IF(MOD(#REF!,10)&lt;10,MOD(#REF!,10),IF(#REF!/10&gt;8,MOD(#REF!,80),IF(#REF!/10&gt;7,MOD(#REF!,70),IF(#REF!/10&gt;6,MOD(#REF!,60),IF(#REF!/10&gt;5,MOD(#REF!,50),IF(#REF!/10&gt;4,MOD(#REF!,40),IF(#REF!/10&gt;3,MOD(#REF!,30),IF(#REF!/10&gt;2,MOD(#REF!,20),MOD(#REF!,100)))))))))</formula>
    </cfRule>
  </conditionalFormatting>
  <conditionalFormatting sqref="A384">
    <cfRule type="expression" priority="9801">
      <formula>IF(MOD(#REF!,10)&lt;10,MOD(#REF!,10),IF(#REF!/10&gt;8,MOD(#REF!,80),IF(#REF!/10&gt;7,MOD(#REF!,70),IF(#REF!/10&gt;6,MOD(#REF!,60),IF(#REF!/10&gt;5,MOD(#REF!,50),IF(#REF!/10&gt;4,MOD(#REF!,40),IF(#REF!/10&gt;3,MOD(#REF!,30),IF(#REF!/10&gt;2,MOD(#REF!,20),MOD(#REF!,100)))))))))</formula>
    </cfRule>
  </conditionalFormatting>
  <conditionalFormatting sqref="A406">
    <cfRule type="expression" priority="10106">
      <formula>IF(MOD(#REF!,10)&lt;10,MOD(#REF!,10),IF(#REF!/10&gt;8,MOD(#REF!,80),IF(#REF!/10&gt;7,MOD(#REF!,70),IF(#REF!/10&gt;6,MOD(#REF!,60),IF(#REF!/10&gt;5,MOD(#REF!,50),IF(#REF!/10&gt;4,MOD(#REF!,40),IF(#REF!/10&gt;3,MOD(#REF!,30),IF(#REF!/10&gt;2,MOD(#REF!,20),MOD(#REF!,100)))))))))</formula>
    </cfRule>
  </conditionalFormatting>
  <conditionalFormatting sqref="E477">
    <cfRule type="expression" dxfId="270" priority="2">
      <formula>IF(ISBLANK(E477),FALSE,IF(IF(ISNUMBER($G$10),IF(YEAR(TODAY())-$G$10&lt;=E477,FALSE,TRUE),FALSE),TRUE,IF(ISNUMBER($E$10),IF(YEAR(TODAY())-$E$10&lt;E477,TRUE,FALSE),FALSE)))</formula>
    </cfRule>
  </conditionalFormatting>
  <conditionalFormatting sqref="B475">
    <cfRule type="expression" dxfId="269" priority="1">
      <formula>IF(#REF!&lt;&gt;$H$8,IF(#REF!&lt;&gt;$H$9,IF(#REF!&lt;&gt;$H$10,IF(#REF!&lt;&gt;$I$8,IF(#REF!&lt;&gt;$I$9,IF(#REF!&lt;&gt;$I$10,IF(#REF!&lt;&gt;$L$8,IF(#REF!&lt;&gt;$L$9,IF(#REF!&lt;&gt;$L$10,IF(#REF!&lt;&gt;#REF!,IF(#REF!&lt;&gt;$N$51,TRUE)))))))))))</formula>
    </cfRule>
  </conditionalFormatting>
  <conditionalFormatting sqref="A474:A479">
    <cfRule type="expression" priority="10558">
      <formula>IF(MOD(A540,10)&lt;10,MOD(A540,10),IF(A540/10&gt;8,MOD(A540,80),IF(A540/10&gt;7,MOD(A540,70),IF(A540/10&gt;6,MOD(A540,60),IF(A540/10&gt;5,MOD(A540,50),IF(A540/10&gt;4,MOD(A540,40),IF(A540/10&gt;3,MOD(A540,30),IF(A540/10&gt;2,MOD(A540,20),MOD(A540,100)))))))))</formula>
    </cfRule>
  </conditionalFormatting>
  <conditionalFormatting sqref="A480:A485">
    <cfRule type="expression" priority="10990">
      <formula>IF(MOD(A558,10)&lt;10,MOD(A558,10),IF(A558/10&gt;8,MOD(A558,80),IF(A558/10&gt;7,MOD(A558,70),IF(A558/10&gt;6,MOD(A558,60),IF(A558/10&gt;5,MOD(A558,50),IF(A558/10&gt;4,MOD(A558,40),IF(A558/10&gt;3,MOD(A558,30),IF(A558/10&gt;2,MOD(A558,20),MOD(A558,100)))))))))</formula>
    </cfRule>
  </conditionalFormatting>
  <conditionalFormatting sqref="A467">
    <cfRule type="expression" priority="11440">
      <formula>IF(MOD(#REF!,10)&lt;10,MOD(#REF!,10),IF(#REF!/10&gt;8,MOD(#REF!,80),IF(#REF!/10&gt;7,MOD(#REF!,70),IF(#REF!/10&gt;6,MOD(#REF!,60),IF(#REF!/10&gt;5,MOD(#REF!,50),IF(#REF!/10&gt;4,MOD(#REF!,40),IF(#REF!/10&gt;3,MOD(#REF!,30),IF(#REF!/10&gt;2,MOD(#REF!,20),MOD(#REF!,100)))))))))</formula>
    </cfRule>
  </conditionalFormatting>
  <conditionalFormatting sqref="A468:A473">
    <cfRule type="expression" priority="11441">
      <formula>IF(MOD(A552,10)&lt;10,MOD(A552,10),IF(A552/10&gt;8,MOD(A552,80),IF(A552/10&gt;7,MOD(A552,70),IF(A552/10&gt;6,MOD(A552,60),IF(A552/10&gt;5,MOD(A552,50),IF(A552/10&gt;4,MOD(A552,40),IF(A552/10&gt;3,MOD(A552,30),IF(A552/10&gt;2,MOD(A552,20),MOD(A552,100)))))))))</formula>
    </cfRule>
  </conditionalFormatting>
  <conditionalFormatting sqref="A387">
    <cfRule type="expression" priority="11449">
      <formula>IF(MOD(#REF!,10)&lt;10,MOD(#REF!,10),IF(#REF!/10&gt;8,MOD(#REF!,80),IF(#REF!/10&gt;7,MOD(#REF!,70),IF(#REF!/10&gt;6,MOD(#REF!,60),IF(#REF!/10&gt;5,MOD(#REF!,50),IF(#REF!/10&gt;4,MOD(#REF!,40),IF(#REF!/10&gt;3,MOD(#REF!,30),IF(#REF!/10&gt;2,MOD(#REF!,20),MOD(#REF!,100)))))))))</formula>
    </cfRule>
  </conditionalFormatting>
  <conditionalFormatting sqref="A449">
    <cfRule type="expression" priority="11450">
      <formula>IF(MOD(A504,10)&lt;10,MOD(A504,10),IF(A504/10&gt;8,MOD(A504,80),IF(A504/10&gt;7,MOD(A504,70),IF(A504/10&gt;6,MOD(A504,60),IF(A504/10&gt;5,MOD(A504,50),IF(A504/10&gt;4,MOD(A504,40),IF(A504/10&gt;3,MOD(A504,30),IF(A504/10&gt;2,MOD(A504,20),MOD(A504,100)))))))))</formula>
    </cfRule>
  </conditionalFormatting>
  <conditionalFormatting sqref="A486">
    <cfRule type="expression" priority="11452">
      <formula>IF(MOD(A565,10)&lt;10,MOD(A565,10),IF(A565/10&gt;8,MOD(A565,80),IF(A565/10&gt;7,MOD(A565,70),IF(A565/10&gt;6,MOD(A565,60),IF(A565/10&gt;5,MOD(A565,50),IF(A565/10&gt;4,MOD(A565,40),IF(A565/10&gt;3,MOD(A565,30),IF(A565/10&gt;2,MOD(A565,20),MOD(A565,100)))))))))</formula>
    </cfRule>
  </conditionalFormatting>
  <pageMargins left="0" right="0" top="0.35433070866141736" bottom="1.1811023622047245" header="0" footer="0.11811023622047245"/>
  <pageSetup paperSize="9" orientation="portrait" r:id="rId1"/>
  <headerFooter scaleWithDoc="0" alignWithMargins="0">
    <oddHeader>&amp;R&amp;"Times New Roman,курсив"&amp;8Стр. &amp;P из &amp;N</oddHeader>
    <oddFooter>&amp;L&amp;"Times New Roman,полужирный курсив"Главный судья соревнований, судья всероссийской категорииГлавный секретарь соревнований, судья первой категории&amp;R&amp;"Times New Roman,полужирный курсив"Алдаев А.В.Реди Е.В.</oddFooter>
  </headerFooter>
  <rowBreaks count="2" manualBreakCount="2">
    <brk id="49" max="16383" man="1"/>
    <brk id="94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Лист10"/>
  <dimension ref="A1:R320"/>
  <sheetViews>
    <sheetView topLeftCell="A67" workbookViewId="0">
      <selection activeCell="O84" sqref="O84"/>
    </sheetView>
  </sheetViews>
  <sheetFormatPr defaultRowHeight="15"/>
  <cols>
    <col min="8" max="8" width="11.97265625" style="740" customWidth="1"/>
    <col min="9" max="9" width="9.14453125" style="737"/>
  </cols>
  <sheetData>
    <row r="1" spans="1:11" ht="18.75" customHeight="1">
      <c r="A1" s="139" t="s">
        <v>123</v>
      </c>
      <c r="C1" s="140"/>
      <c r="D1" s="141"/>
      <c r="E1" s="141"/>
      <c r="F1" s="141"/>
      <c r="G1" s="141"/>
      <c r="H1" s="142">
        <f ca="1">YEAR(TODAY())-18</f>
        <v>2003</v>
      </c>
      <c r="I1" s="367" t="s">
        <v>124</v>
      </c>
      <c r="J1" s="141"/>
      <c r="K1" s="514" t="s">
        <v>722</v>
      </c>
    </row>
    <row r="2" spans="1:11" ht="15.75" customHeight="1">
      <c r="A2" s="143" t="s">
        <v>727</v>
      </c>
      <c r="C2" s="140"/>
      <c r="D2" s="141"/>
      <c r="E2" s="141"/>
      <c r="F2" s="141"/>
      <c r="G2" s="141"/>
      <c r="H2" s="728"/>
      <c r="I2" s="731"/>
      <c r="J2" s="141"/>
      <c r="K2" s="514" t="s">
        <v>724</v>
      </c>
    </row>
    <row r="3" spans="1:11" ht="15" customHeight="1">
      <c r="A3" s="133" t="s">
        <v>728</v>
      </c>
      <c r="C3" s="134"/>
      <c r="D3" s="133"/>
      <c r="E3" s="133"/>
      <c r="F3" s="133"/>
      <c r="G3" s="133"/>
      <c r="H3" s="729"/>
      <c r="I3" s="732"/>
      <c r="J3" s="133"/>
      <c r="K3" s="514" t="s">
        <v>725</v>
      </c>
    </row>
    <row r="4" spans="1:11" ht="14.25" customHeight="1">
      <c r="A4" s="71"/>
      <c r="C4" s="40" t="s">
        <v>78</v>
      </c>
      <c r="D4" s="42"/>
      <c r="E4" s="43"/>
      <c r="F4" s="41"/>
      <c r="G4" s="41"/>
      <c r="H4" s="738"/>
      <c r="I4" s="733"/>
      <c r="J4" s="42"/>
      <c r="K4" s="514" t="s">
        <v>726</v>
      </c>
    </row>
    <row r="5" spans="1:11" ht="15" customHeight="1">
      <c r="A5" s="73"/>
      <c r="C5" s="46"/>
      <c r="D5" s="28"/>
      <c r="E5" s="18"/>
      <c r="F5" s="47"/>
      <c r="G5" s="47"/>
      <c r="H5" s="730" t="str">
        <f>$K$1</f>
        <v>Рекорд края</v>
      </c>
      <c r="I5" s="733">
        <f>Рекорды!D5</f>
        <v>17.940000000000001</v>
      </c>
    </row>
    <row r="6" spans="1:11" ht="15" customHeight="1">
      <c r="A6" s="73"/>
      <c r="C6" s="46"/>
      <c r="D6" s="28"/>
      <c r="E6" s="18"/>
      <c r="F6" s="47"/>
      <c r="G6" s="47"/>
      <c r="H6" s="730" t="str">
        <f>$K$2</f>
        <v>Рекорд края 16-17 лет</v>
      </c>
      <c r="I6" s="733">
        <f>Рекорды!B5</f>
        <v>18.920000000000002</v>
      </c>
    </row>
    <row r="7" spans="1:11" ht="15" customHeight="1">
      <c r="A7" s="73"/>
      <c r="C7" s="46"/>
      <c r="D7" s="28"/>
      <c r="E7" s="18"/>
      <c r="F7" s="47"/>
      <c r="G7" s="47"/>
      <c r="H7" s="730" t="str">
        <f>$K$3</f>
        <v>Рекорд края 14-15 лет</v>
      </c>
      <c r="I7" s="733">
        <f>Рекорды!D73</f>
        <v>19.11</v>
      </c>
    </row>
    <row r="8" spans="1:11" ht="15" customHeight="1">
      <c r="A8" s="73"/>
      <c r="C8" s="46"/>
      <c r="D8" s="28"/>
      <c r="E8" s="18"/>
      <c r="F8" s="47"/>
      <c r="G8" s="47"/>
      <c r="H8" s="730" t="str">
        <f>$K$4</f>
        <v>Рекорд края 13 лет и младше</v>
      </c>
      <c r="I8" s="733">
        <f>Рекорды!B73</f>
        <v>19.850000000000001</v>
      </c>
    </row>
    <row r="9" spans="1:11" ht="12.75" customHeight="1">
      <c r="A9" s="144"/>
      <c r="C9" s="144"/>
      <c r="D9" s="144"/>
      <c r="E9" s="144"/>
      <c r="F9" s="144"/>
      <c r="G9" s="144"/>
      <c r="H9" s="739"/>
      <c r="I9" s="734"/>
      <c r="J9" s="47"/>
    </row>
    <row r="10" spans="1:11" ht="14.25" customHeight="1">
      <c r="A10" s="71"/>
      <c r="C10" s="40" t="s">
        <v>125</v>
      </c>
      <c r="D10" s="42"/>
      <c r="E10" s="43"/>
      <c r="F10" s="41"/>
      <c r="G10" s="41"/>
      <c r="H10" s="738"/>
      <c r="I10" s="732"/>
      <c r="J10" s="133"/>
    </row>
    <row r="11" spans="1:11" ht="15" customHeight="1">
      <c r="A11" s="73"/>
      <c r="C11" s="46"/>
      <c r="D11" s="28"/>
      <c r="E11" s="18"/>
      <c r="F11" s="47"/>
      <c r="G11" s="47"/>
      <c r="H11" s="730" t="str">
        <f t="shared" ref="H11" si="0">$K$1</f>
        <v>Рекорд края</v>
      </c>
      <c r="I11" s="733">
        <f>Рекорды!E5</f>
        <v>15.92</v>
      </c>
      <c r="J11" s="133"/>
    </row>
    <row r="12" spans="1:11" ht="15" customHeight="1">
      <c r="A12" s="73"/>
      <c r="C12" s="46"/>
      <c r="D12" s="28"/>
      <c r="E12" s="18"/>
      <c r="F12" s="47"/>
      <c r="G12" s="47"/>
      <c r="H12" s="730" t="str">
        <f t="shared" ref="H12" si="1">$K$2</f>
        <v>Рекорд края 16-17 лет</v>
      </c>
      <c r="I12" s="733">
        <f>Рекорды!C5</f>
        <v>15.92</v>
      </c>
      <c r="J12" s="47"/>
    </row>
    <row r="13" spans="1:11" ht="15" customHeight="1">
      <c r="A13" s="73"/>
      <c r="C13" s="46"/>
      <c r="D13" s="28"/>
      <c r="E13" s="18"/>
      <c r="F13" s="47"/>
      <c r="G13" s="47"/>
      <c r="H13" s="730" t="str">
        <f t="shared" ref="H13" si="2">$K$3</f>
        <v>Рекорд края 14-15 лет</v>
      </c>
      <c r="I13" s="733">
        <f>Рекорды!E73</f>
        <v>17.5</v>
      </c>
      <c r="J13" s="47"/>
    </row>
    <row r="14" spans="1:11" ht="15" customHeight="1">
      <c r="A14" s="73"/>
      <c r="C14" s="46"/>
      <c r="D14" s="28"/>
      <c r="E14" s="18"/>
      <c r="F14" s="47"/>
      <c r="G14" s="47"/>
      <c r="H14" s="730" t="str">
        <f t="shared" ref="H14" si="3">$K$4</f>
        <v>Рекорд края 13 лет и младше</v>
      </c>
      <c r="I14" s="733">
        <f>Рекорды!C73</f>
        <v>17.7</v>
      </c>
      <c r="J14" s="47"/>
    </row>
    <row r="15" spans="1:11" ht="15" customHeight="1">
      <c r="A15" s="73"/>
      <c r="C15" s="46"/>
      <c r="D15" s="28"/>
      <c r="E15" s="18"/>
      <c r="F15" s="47"/>
      <c r="G15" s="47"/>
      <c r="H15" s="739"/>
      <c r="I15" s="733"/>
      <c r="J15" s="133"/>
    </row>
    <row r="16" spans="1:11" ht="14.25" customHeight="1">
      <c r="A16" s="133"/>
      <c r="C16" s="40" t="s">
        <v>145</v>
      </c>
      <c r="D16" s="133"/>
      <c r="E16" s="133"/>
      <c r="F16" s="133"/>
      <c r="G16" s="133"/>
      <c r="H16" s="738"/>
      <c r="I16" s="732"/>
      <c r="J16" s="133"/>
    </row>
    <row r="17" spans="1:10" ht="15" customHeight="1">
      <c r="A17" s="133"/>
      <c r="C17" s="134"/>
      <c r="D17" s="133"/>
      <c r="E17" s="133"/>
      <c r="F17" s="133"/>
      <c r="G17" s="133"/>
      <c r="H17" s="730" t="str">
        <f t="shared" ref="H17" si="4">$K$1</f>
        <v>Рекорд края</v>
      </c>
      <c r="I17" s="733">
        <f>Рекорды!D41</f>
        <v>21.46</v>
      </c>
    </row>
    <row r="18" spans="1:10" ht="15" customHeight="1">
      <c r="A18" s="73"/>
      <c r="C18" s="46"/>
      <c r="D18" s="28"/>
      <c r="E18" s="18"/>
      <c r="F18" s="47"/>
      <c r="G18" s="47"/>
      <c r="H18" s="730" t="str">
        <f t="shared" ref="H18" si="5">$K$2</f>
        <v>Рекорд края 16-17 лет</v>
      </c>
      <c r="I18" s="733">
        <f>Рекорды!B41</f>
        <v>21.92</v>
      </c>
    </row>
    <row r="19" spans="1:10" ht="15" customHeight="1">
      <c r="A19" s="73"/>
      <c r="C19" s="46"/>
      <c r="D19" s="28"/>
      <c r="E19" s="18"/>
      <c r="F19" s="47"/>
      <c r="G19" s="47"/>
      <c r="H19" s="730" t="str">
        <f t="shared" ref="H19" si="6">$K$3</f>
        <v>Рекорд края 14-15 лет</v>
      </c>
      <c r="I19" s="733">
        <f>Рекорды!D109</f>
        <v>23</v>
      </c>
    </row>
    <row r="20" spans="1:10" ht="15" customHeight="1">
      <c r="A20" s="73"/>
      <c r="C20" s="46"/>
      <c r="D20" s="28"/>
      <c r="E20" s="18"/>
      <c r="F20" s="47"/>
      <c r="G20" s="47"/>
      <c r="H20" s="730" t="str">
        <f t="shared" ref="H20" si="7">$K$4</f>
        <v>Рекорд края 13 лет и младше</v>
      </c>
      <c r="I20" s="733">
        <f>Рекорды!B109</f>
        <v>23.8</v>
      </c>
    </row>
    <row r="21" spans="1:10" ht="15" customHeight="1">
      <c r="A21" s="133"/>
      <c r="C21" s="134"/>
      <c r="D21" s="133"/>
      <c r="E21" s="133"/>
      <c r="F21" s="133"/>
      <c r="G21" s="133"/>
      <c r="H21" s="739"/>
      <c r="I21" s="733"/>
      <c r="J21" s="133"/>
    </row>
    <row r="22" spans="1:10" ht="14.25" customHeight="1">
      <c r="A22" s="133"/>
      <c r="C22" s="40" t="s">
        <v>146</v>
      </c>
      <c r="D22" s="133"/>
      <c r="E22" s="133"/>
      <c r="F22" s="133"/>
      <c r="G22" s="133"/>
      <c r="H22" s="738"/>
      <c r="I22" s="733"/>
      <c r="J22" s="133"/>
    </row>
    <row r="23" spans="1:10" ht="15" customHeight="1">
      <c r="A23" s="133"/>
      <c r="C23" s="134"/>
      <c r="D23" s="133"/>
      <c r="E23" s="133"/>
      <c r="F23" s="133"/>
      <c r="G23" s="133"/>
      <c r="H23" s="730" t="str">
        <f t="shared" ref="H23" si="8">$K$1</f>
        <v>Рекорд края</v>
      </c>
      <c r="I23" s="733">
        <f>Рекорды!E41</f>
        <v>18.77</v>
      </c>
      <c r="J23" s="133"/>
    </row>
    <row r="24" spans="1:10" ht="15" customHeight="1">
      <c r="A24" s="73"/>
      <c r="C24" s="46"/>
      <c r="D24" s="28"/>
      <c r="E24" s="18"/>
      <c r="F24" s="47"/>
      <c r="G24" s="47"/>
      <c r="H24" s="730" t="str">
        <f t="shared" ref="H24" si="9">$K$2</f>
        <v>Рекорд края 16-17 лет</v>
      </c>
      <c r="I24" s="733">
        <f>Рекорды!C41</f>
        <v>20.02</v>
      </c>
    </row>
    <row r="25" spans="1:10" ht="15" customHeight="1">
      <c r="A25" s="73"/>
      <c r="C25" s="46"/>
      <c r="D25" s="28"/>
      <c r="E25" s="18"/>
      <c r="F25" s="47"/>
      <c r="G25" s="47"/>
      <c r="H25" s="730" t="str">
        <f t="shared" ref="H25" si="10">$K$3</f>
        <v>Рекорд края 14-15 лет</v>
      </c>
      <c r="I25" s="733">
        <f>Рекорды!E109</f>
        <v>20.79</v>
      </c>
    </row>
    <row r="26" spans="1:10" ht="15" customHeight="1">
      <c r="A26" s="73"/>
      <c r="C26" s="46"/>
      <c r="D26" s="28"/>
      <c r="E26" s="18"/>
      <c r="F26" s="47"/>
      <c r="G26" s="47"/>
      <c r="H26" s="730" t="str">
        <f t="shared" ref="H26" si="11">$K$4</f>
        <v>Рекорд края 13 лет и младше</v>
      </c>
      <c r="I26" s="733">
        <f>Рекорды!C109</f>
        <v>22</v>
      </c>
    </row>
    <row r="27" spans="1:10" ht="15" customHeight="1">
      <c r="A27" s="133"/>
      <c r="C27" s="134"/>
      <c r="D27" s="133"/>
      <c r="E27" s="133"/>
      <c r="F27" s="133"/>
      <c r="G27" s="133"/>
      <c r="H27" s="739"/>
      <c r="I27" s="732"/>
      <c r="J27" s="133"/>
    </row>
    <row r="28" spans="1:10" ht="14.25" customHeight="1">
      <c r="A28" s="71"/>
      <c r="C28" s="40" t="s">
        <v>126</v>
      </c>
      <c r="D28" s="42"/>
      <c r="E28" s="43"/>
      <c r="F28" s="41"/>
      <c r="G28" s="41"/>
      <c r="H28" s="738"/>
      <c r="I28" s="733"/>
      <c r="J28" s="41"/>
    </row>
    <row r="29" spans="1:10" ht="15" customHeight="1">
      <c r="A29" s="73"/>
      <c r="C29" s="46"/>
      <c r="D29" s="28"/>
      <c r="E29" s="18"/>
      <c r="F29" s="47"/>
      <c r="G29" s="47"/>
      <c r="H29" s="730" t="str">
        <f t="shared" ref="H29" si="12">$K$1</f>
        <v>Рекорд края</v>
      </c>
      <c r="I29" s="733">
        <f>Рекорды!D8</f>
        <v>39.200000000000003</v>
      </c>
    </row>
    <row r="30" spans="1:10" ht="15" customHeight="1">
      <c r="A30" s="73"/>
      <c r="C30" s="46"/>
      <c r="D30" s="28"/>
      <c r="E30" s="18"/>
      <c r="F30" s="47"/>
      <c r="G30" s="47"/>
      <c r="H30" s="730" t="str">
        <f t="shared" ref="H30" si="13">$K$2</f>
        <v>Рекорд края 16-17 лет</v>
      </c>
      <c r="I30" s="733">
        <f>Рекорды!B8</f>
        <v>41.2</v>
      </c>
    </row>
    <row r="31" spans="1:10" ht="15" customHeight="1">
      <c r="A31" s="73"/>
      <c r="C31" s="46"/>
      <c r="D31" s="28"/>
      <c r="E31" s="18"/>
      <c r="F31" s="47"/>
      <c r="G31" s="47"/>
      <c r="H31" s="730" t="str">
        <f t="shared" ref="H31" si="14">$K$3</f>
        <v>Рекорд края 14-15 лет</v>
      </c>
      <c r="I31" s="733">
        <f>Рекорды!D76</f>
        <v>41.48</v>
      </c>
    </row>
    <row r="32" spans="1:10" ht="15" customHeight="1">
      <c r="A32" s="73"/>
      <c r="C32" s="46"/>
      <c r="D32" s="28"/>
      <c r="E32" s="18"/>
      <c r="F32" s="47"/>
      <c r="G32" s="47"/>
      <c r="H32" s="730" t="str">
        <f t="shared" ref="H32" si="15">$K$4</f>
        <v>Рекорд края 13 лет и младше</v>
      </c>
      <c r="I32" s="733">
        <f>Рекорды!B76</f>
        <v>43.88</v>
      </c>
    </row>
    <row r="33" spans="1:10" ht="15" customHeight="1">
      <c r="A33" s="73"/>
      <c r="C33" s="46"/>
      <c r="D33" s="28"/>
      <c r="E33" s="18"/>
      <c r="F33" s="47"/>
      <c r="G33" s="47"/>
      <c r="H33" s="739"/>
      <c r="I33" s="733"/>
      <c r="J33" s="28"/>
    </row>
    <row r="34" spans="1:10" ht="14.25" customHeight="1">
      <c r="A34" s="71"/>
      <c r="C34" s="40" t="s">
        <v>127</v>
      </c>
      <c r="D34" s="42"/>
      <c r="E34" s="43"/>
      <c r="F34" s="41"/>
      <c r="G34" s="41"/>
      <c r="H34" s="738"/>
      <c r="I34" s="733"/>
      <c r="J34" s="133"/>
    </row>
    <row r="35" spans="1:10" ht="15" customHeight="1">
      <c r="A35" s="73"/>
      <c r="C35" s="46"/>
      <c r="D35" s="28"/>
      <c r="E35" s="18"/>
      <c r="F35" s="47"/>
      <c r="G35" s="47"/>
      <c r="H35" s="730" t="str">
        <f t="shared" ref="H35" si="16">$K$1</f>
        <v>Рекорд края</v>
      </c>
      <c r="I35" s="733">
        <f>Рекорды!E8</f>
        <v>35.56</v>
      </c>
      <c r="J35" s="133"/>
    </row>
    <row r="36" spans="1:10" ht="15" customHeight="1">
      <c r="A36" s="73"/>
      <c r="C36" s="46"/>
      <c r="D36" s="28"/>
      <c r="E36" s="18"/>
      <c r="F36" s="47"/>
      <c r="G36" s="47"/>
      <c r="H36" s="730" t="str">
        <f t="shared" ref="H36" si="17">$K$2</f>
        <v>Рекорд края 16-17 лет</v>
      </c>
      <c r="I36" s="733">
        <f>Рекорды!C8</f>
        <v>36.24</v>
      </c>
      <c r="J36" s="47"/>
    </row>
    <row r="37" spans="1:10" ht="15" customHeight="1">
      <c r="A37" s="73"/>
      <c r="C37" s="46"/>
      <c r="D37" s="28"/>
      <c r="E37" s="18"/>
      <c r="F37" s="47"/>
      <c r="G37" s="47"/>
      <c r="H37" s="730" t="str">
        <f t="shared" ref="H37" si="18">$K$3</f>
        <v>Рекорд края 14-15 лет</v>
      </c>
      <c r="I37" s="733">
        <f>Рекорды!E76</f>
        <v>37.69</v>
      </c>
      <c r="J37" s="47"/>
    </row>
    <row r="38" spans="1:10" ht="15" customHeight="1">
      <c r="A38" s="73"/>
      <c r="C38" s="46"/>
      <c r="D38" s="28"/>
      <c r="E38" s="18"/>
      <c r="F38" s="47"/>
      <c r="G38" s="47"/>
      <c r="H38" s="730" t="str">
        <f t="shared" ref="H38" si="19">$K$4</f>
        <v>Рекорд края 13 лет и младше</v>
      </c>
      <c r="I38" s="733">
        <f>Рекорды!C76</f>
        <v>40.549999999999997</v>
      </c>
      <c r="J38" s="47"/>
    </row>
    <row r="39" spans="1:10" ht="15" customHeight="1">
      <c r="A39" s="133"/>
      <c r="C39" s="134"/>
      <c r="D39" s="133"/>
      <c r="E39" s="133"/>
      <c r="F39" s="133"/>
      <c r="G39" s="133"/>
      <c r="H39" s="739"/>
      <c r="I39" s="732"/>
      <c r="J39" s="133"/>
    </row>
    <row r="40" spans="1:10" ht="14.25" customHeight="1">
      <c r="A40" s="133"/>
      <c r="C40" s="40" t="s">
        <v>147</v>
      </c>
      <c r="D40" s="133"/>
      <c r="E40" s="133"/>
      <c r="F40" s="133"/>
      <c r="G40" s="133"/>
      <c r="H40" s="738"/>
      <c r="I40" s="732"/>
      <c r="J40" s="133"/>
    </row>
    <row r="41" spans="1:10" ht="15" customHeight="1">
      <c r="A41" s="73"/>
      <c r="C41" s="46"/>
      <c r="D41" s="28"/>
      <c r="E41" s="18"/>
      <c r="F41" s="47"/>
      <c r="G41" s="47"/>
      <c r="H41" s="730" t="str">
        <f t="shared" ref="H41" si="20">$K$1</f>
        <v>Рекорд края</v>
      </c>
      <c r="I41" s="733">
        <f>Рекорды!D44</f>
        <v>47.58</v>
      </c>
    </row>
    <row r="42" spans="1:10" ht="15" customHeight="1">
      <c r="A42" s="73"/>
      <c r="C42" s="46"/>
      <c r="D42" s="28"/>
      <c r="E42" s="18"/>
      <c r="F42" s="47"/>
      <c r="G42" s="47"/>
      <c r="H42" s="730" t="str">
        <f t="shared" ref="H42" si="21">$K$2</f>
        <v>Рекорд края 16-17 лет</v>
      </c>
      <c r="I42" s="733">
        <f>Рекорды!B44</f>
        <v>47.91</v>
      </c>
    </row>
    <row r="43" spans="1:10" ht="15" customHeight="1">
      <c r="A43" s="73"/>
      <c r="C43" s="46"/>
      <c r="D43" s="28"/>
      <c r="E43" s="18"/>
      <c r="F43" s="47"/>
      <c r="G43" s="47"/>
      <c r="H43" s="730" t="str">
        <f t="shared" ref="H43" si="22">$K$3</f>
        <v>Рекорд края 14-15 лет</v>
      </c>
      <c r="I43" s="733">
        <f>Рекорды!D112</f>
        <v>50.68</v>
      </c>
    </row>
    <row r="44" spans="1:10" ht="15.75" customHeight="1">
      <c r="A44" s="133"/>
      <c r="C44" s="134"/>
      <c r="D44" s="133"/>
      <c r="E44" s="133"/>
      <c r="F44" s="133"/>
      <c r="G44" s="133"/>
      <c r="H44" s="730" t="str">
        <f t="shared" ref="H44" si="23">$K$4</f>
        <v>Рекорд края 13 лет и младше</v>
      </c>
      <c r="I44" s="733">
        <f>Рекорды!B112</f>
        <v>53.01</v>
      </c>
    </row>
    <row r="45" spans="1:10" ht="15.75" customHeight="1">
      <c r="A45" s="133"/>
      <c r="C45" s="134"/>
      <c r="D45" s="133"/>
      <c r="E45" s="133"/>
      <c r="F45" s="133"/>
      <c r="G45" s="133"/>
      <c r="H45" s="739"/>
      <c r="I45" s="733"/>
      <c r="J45" s="133"/>
    </row>
    <row r="46" spans="1:10" ht="14.25" customHeight="1">
      <c r="A46" s="133"/>
      <c r="C46" s="40" t="s">
        <v>148</v>
      </c>
      <c r="D46" s="133"/>
      <c r="E46" s="133"/>
      <c r="F46" s="133"/>
      <c r="G46" s="133"/>
      <c r="H46" s="738"/>
      <c r="I46" s="733"/>
      <c r="J46" s="133"/>
    </row>
    <row r="47" spans="1:10" ht="15" customHeight="1">
      <c r="A47" s="133"/>
      <c r="C47" s="134"/>
      <c r="D47" s="133"/>
      <c r="E47" s="133"/>
      <c r="F47" s="133"/>
      <c r="G47" s="133"/>
      <c r="H47" s="730" t="str">
        <f t="shared" ref="H47" si="24">$K$1</f>
        <v>Рекорд края</v>
      </c>
      <c r="I47" s="733">
        <f>Рекорды!E44</f>
        <v>42.7</v>
      </c>
      <c r="J47" s="133"/>
    </row>
    <row r="48" spans="1:10" ht="15" customHeight="1">
      <c r="A48" s="73"/>
      <c r="C48" s="46"/>
      <c r="D48" s="28"/>
      <c r="E48" s="18"/>
      <c r="F48" s="47"/>
      <c r="G48" s="47"/>
      <c r="H48" s="730" t="str">
        <f t="shared" ref="H48" si="25">$K$2</f>
        <v>Рекорд края 16-17 лет</v>
      </c>
      <c r="I48" s="733">
        <f>Рекорды!C44</f>
        <v>43.77</v>
      </c>
    </row>
    <row r="49" spans="1:10" ht="15" customHeight="1">
      <c r="A49" s="73"/>
      <c r="C49" s="46"/>
      <c r="D49" s="28"/>
      <c r="E49" s="18"/>
      <c r="F49" s="47"/>
      <c r="G49" s="47"/>
      <c r="H49" s="730" t="str">
        <f t="shared" ref="H49" si="26">$K$3</f>
        <v>Рекорд края 14-15 лет</v>
      </c>
      <c r="I49" s="733">
        <f>Рекорды!E112</f>
        <v>45.9</v>
      </c>
    </row>
    <row r="50" spans="1:10" ht="15" customHeight="1">
      <c r="A50" s="73"/>
      <c r="C50" s="46"/>
      <c r="D50" s="28"/>
      <c r="E50" s="18"/>
      <c r="F50" s="47"/>
      <c r="G50" s="47"/>
      <c r="H50" s="730" t="str">
        <f t="shared" ref="H50" si="27">$K$4</f>
        <v>Рекорд края 13 лет и младше</v>
      </c>
      <c r="I50" s="733">
        <f>Рекорды!C112</f>
        <v>48.95</v>
      </c>
    </row>
    <row r="51" spans="1:10" ht="15" customHeight="1">
      <c r="A51" s="133"/>
      <c r="C51" s="134"/>
      <c r="D51" s="133"/>
      <c r="E51" s="133"/>
      <c r="F51" s="133"/>
      <c r="G51" s="133"/>
      <c r="H51" s="739"/>
      <c r="I51" s="732"/>
      <c r="J51" s="133"/>
    </row>
    <row r="52" spans="1:10" ht="14.25" customHeight="1">
      <c r="A52" s="71"/>
      <c r="C52" s="40" t="s">
        <v>128</v>
      </c>
      <c r="D52" s="42"/>
      <c r="E52" s="43"/>
      <c r="F52" s="41"/>
      <c r="G52" s="41"/>
      <c r="H52" s="738"/>
      <c r="I52" s="733"/>
      <c r="J52" s="41"/>
    </row>
    <row r="53" spans="1:10" ht="15" customHeight="1">
      <c r="A53" s="73"/>
      <c r="C53" s="46"/>
      <c r="D53" s="28"/>
      <c r="E53" s="18"/>
      <c r="F53" s="47"/>
      <c r="G53" s="47"/>
      <c r="H53" s="730" t="str">
        <f t="shared" ref="H53" si="28">$K$1</f>
        <v>Рекорд края</v>
      </c>
      <c r="I53" s="733">
        <f>Рекорды!D11</f>
        <v>128.51</v>
      </c>
    </row>
    <row r="54" spans="1:10" ht="15" customHeight="1">
      <c r="A54" s="73"/>
      <c r="C54" s="46"/>
      <c r="D54" s="28"/>
      <c r="E54" s="18"/>
      <c r="F54" s="47"/>
      <c r="G54" s="47"/>
      <c r="H54" s="730" t="str">
        <f t="shared" ref="H54" si="29">$K$2</f>
        <v>Рекорд края 16-17 лет</v>
      </c>
      <c r="I54" s="733">
        <f>Рекорды!B11</f>
        <v>132.52000000000001</v>
      </c>
    </row>
    <row r="55" spans="1:10" ht="15" customHeight="1">
      <c r="A55" s="73"/>
      <c r="C55" s="46"/>
      <c r="D55" s="28"/>
      <c r="E55" s="18"/>
      <c r="F55" s="47"/>
      <c r="G55" s="47"/>
      <c r="H55" s="730" t="str">
        <f t="shared" ref="H55" si="30">$K$3</f>
        <v>Рекорд края 14-15 лет</v>
      </c>
      <c r="I55" s="733">
        <f>Рекорды!D79</f>
        <v>137.02000000000001</v>
      </c>
    </row>
    <row r="56" spans="1:10" ht="15" customHeight="1">
      <c r="A56" s="73"/>
      <c r="C56" s="46"/>
      <c r="D56" s="28"/>
      <c r="E56" s="18"/>
      <c r="F56" s="47"/>
      <c r="G56" s="47"/>
      <c r="H56" s="730" t="str">
        <f t="shared" ref="H56" si="31">$K$4</f>
        <v>Рекорд края 13 лет и младше</v>
      </c>
      <c r="I56" s="733">
        <f>Рекорды!B79</f>
        <v>139.87</v>
      </c>
    </row>
    <row r="57" spans="1:10" ht="15" customHeight="1">
      <c r="A57" s="133"/>
      <c r="C57" s="134"/>
      <c r="D57" s="133"/>
      <c r="E57" s="133"/>
      <c r="F57" s="133"/>
      <c r="G57" s="133"/>
      <c r="H57" s="739"/>
      <c r="I57" s="732"/>
      <c r="J57" s="133"/>
    </row>
    <row r="58" spans="1:10" ht="14.25" customHeight="1">
      <c r="A58" s="71"/>
      <c r="C58" s="40" t="s">
        <v>129</v>
      </c>
      <c r="D58" s="42"/>
      <c r="E58" s="43"/>
      <c r="F58" s="41"/>
      <c r="G58" s="41"/>
      <c r="H58" s="738"/>
      <c r="I58" s="733"/>
      <c r="J58" s="133"/>
    </row>
    <row r="59" spans="1:10" ht="15" customHeight="1">
      <c r="A59" s="73"/>
      <c r="C59" s="46"/>
      <c r="D59" s="28"/>
      <c r="E59" s="18"/>
      <c r="F59" s="47"/>
      <c r="G59" s="47"/>
      <c r="H59" s="730" t="str">
        <f t="shared" ref="H59" si="32">$K$1</f>
        <v>Рекорд края</v>
      </c>
      <c r="I59" s="733">
        <f>Рекорды!E11</f>
        <v>121.33</v>
      </c>
      <c r="J59" s="133"/>
    </row>
    <row r="60" spans="1:10" ht="15" customHeight="1">
      <c r="A60" s="73"/>
      <c r="C60" s="46"/>
      <c r="D60" s="28"/>
      <c r="E60" s="18"/>
      <c r="F60" s="47"/>
      <c r="G60" s="47"/>
      <c r="H60" s="730" t="str">
        <f t="shared" ref="H60" si="33">$K$2</f>
        <v>Рекорд края 16-17 лет</v>
      </c>
      <c r="I60" s="733">
        <f>Рекорды!C11</f>
        <v>121.67</v>
      </c>
      <c r="J60" s="47"/>
    </row>
    <row r="61" spans="1:10" ht="15" customHeight="1">
      <c r="A61" s="73"/>
      <c r="C61" s="46"/>
      <c r="D61" s="28"/>
      <c r="E61" s="18"/>
      <c r="F61" s="47"/>
      <c r="G61" s="47"/>
      <c r="H61" s="730" t="str">
        <f t="shared" ref="H61" si="34">$K$3</f>
        <v>Рекорд края 14-15 лет</v>
      </c>
      <c r="I61" s="733">
        <f>Рекорды!E79</f>
        <v>125.51</v>
      </c>
      <c r="J61" s="47"/>
    </row>
    <row r="62" spans="1:10" ht="15" customHeight="1">
      <c r="A62" s="73"/>
      <c r="C62" s="46"/>
      <c r="D62" s="28"/>
      <c r="E62" s="18"/>
      <c r="F62" s="47"/>
      <c r="G62" s="47"/>
      <c r="H62" s="730" t="str">
        <f t="shared" ref="H62" si="35">$K$4</f>
        <v>Рекорд края 13 лет и младше</v>
      </c>
      <c r="I62" s="733">
        <f>Рекорды!C79</f>
        <v>133.16999999999999</v>
      </c>
      <c r="J62" s="47"/>
    </row>
    <row r="63" spans="1:10" ht="15" customHeight="1">
      <c r="A63" s="73"/>
      <c r="C63" s="46"/>
      <c r="D63" s="28"/>
      <c r="E63" s="18"/>
      <c r="F63" s="47"/>
      <c r="G63" s="47"/>
      <c r="H63" s="739"/>
      <c r="I63" s="733"/>
      <c r="J63" s="133"/>
    </row>
    <row r="64" spans="1:10" ht="14.25" customHeight="1">
      <c r="A64" s="133"/>
      <c r="C64" s="40" t="s">
        <v>149</v>
      </c>
      <c r="D64" s="133"/>
      <c r="E64" s="133"/>
      <c r="F64" s="133"/>
      <c r="G64" s="133"/>
      <c r="H64" s="738"/>
      <c r="I64" s="732"/>
      <c r="J64" s="133"/>
    </row>
    <row r="65" spans="1:18" ht="15" customHeight="1">
      <c r="A65" s="133"/>
      <c r="C65" s="134"/>
      <c r="D65" s="133"/>
      <c r="E65" s="133"/>
      <c r="F65" s="133"/>
      <c r="G65" s="133"/>
      <c r="H65" s="730" t="str">
        <f t="shared" ref="H65" si="36">$K$1</f>
        <v>Рекорд края</v>
      </c>
      <c r="I65" s="733">
        <f>Рекорды!D47</f>
        <v>146.62</v>
      </c>
    </row>
    <row r="66" spans="1:18" ht="15" customHeight="1">
      <c r="A66" s="73"/>
      <c r="C66" s="46"/>
      <c r="D66" s="28"/>
      <c r="E66" s="18"/>
      <c r="F66" s="47"/>
      <c r="G66" s="47"/>
      <c r="H66" s="730" t="str">
        <f t="shared" ref="H66" si="37">$K$2</f>
        <v>Рекорд края 16-17 лет</v>
      </c>
      <c r="I66" s="733">
        <f>Рекорды!B47</f>
        <v>149.49</v>
      </c>
    </row>
    <row r="67" spans="1:18" ht="15" customHeight="1">
      <c r="A67" s="73"/>
      <c r="C67" s="46"/>
      <c r="D67" s="28"/>
      <c r="E67" s="18"/>
      <c r="F67" s="47"/>
      <c r="G67" s="47"/>
      <c r="H67" s="730" t="str">
        <f t="shared" ref="H67" si="38">$K$3</f>
        <v>Рекорд края 14-15 лет</v>
      </c>
      <c r="I67" s="733">
        <f>Рекорды!D115</f>
        <v>154.19</v>
      </c>
    </row>
    <row r="68" spans="1:18" ht="15" customHeight="1">
      <c r="A68" s="73"/>
      <c r="C68" s="46"/>
      <c r="D68" s="28"/>
      <c r="E68" s="18"/>
      <c r="F68" s="47"/>
      <c r="G68" s="47"/>
      <c r="H68" s="730" t="str">
        <f t="shared" ref="H68" si="39">$K$4</f>
        <v>Рекорд края 13 лет и младше</v>
      </c>
      <c r="I68" s="733">
        <f>Рекорды!B115</f>
        <v>158.33000000000001</v>
      </c>
    </row>
    <row r="69" spans="1:18" ht="15" customHeight="1">
      <c r="A69" s="133"/>
      <c r="C69" s="134"/>
      <c r="D69" s="133"/>
      <c r="E69" s="133"/>
      <c r="F69" s="133"/>
      <c r="G69" s="133"/>
      <c r="H69" s="739"/>
      <c r="I69" s="733"/>
      <c r="J69" s="133"/>
    </row>
    <row r="70" spans="1:18" ht="14.25" customHeight="1">
      <c r="A70" s="133"/>
      <c r="C70" s="40" t="s">
        <v>150</v>
      </c>
      <c r="D70" s="133"/>
      <c r="E70" s="133"/>
      <c r="F70" s="133"/>
      <c r="G70" s="133"/>
      <c r="H70" s="738"/>
      <c r="I70" s="733"/>
      <c r="J70" s="133"/>
    </row>
    <row r="71" spans="1:18" ht="15" customHeight="1">
      <c r="A71" s="133"/>
      <c r="C71" s="134"/>
      <c r="D71" s="133"/>
      <c r="E71" s="133"/>
      <c r="F71" s="133"/>
      <c r="G71" s="133"/>
      <c r="H71" s="730" t="str">
        <f t="shared" ref="H71" si="40">$K$1</f>
        <v>Рекорд края</v>
      </c>
      <c r="I71" s="733">
        <f>Рекорды!E47</f>
        <v>136.33000000000001</v>
      </c>
      <c r="J71" s="133"/>
    </row>
    <row r="72" spans="1:18" ht="15" customHeight="1">
      <c r="A72" s="73"/>
      <c r="C72" s="46"/>
      <c r="D72" s="28"/>
      <c r="E72" s="18"/>
      <c r="F72" s="47"/>
      <c r="G72" s="47"/>
      <c r="H72" s="730" t="str">
        <f t="shared" ref="H72" si="41">$K$2</f>
        <v>Рекорд края 16-17 лет</v>
      </c>
      <c r="I72" s="733">
        <f>Рекорды!C47</f>
        <v>138.86000000000001</v>
      </c>
    </row>
    <row r="73" spans="1:18" ht="15" customHeight="1">
      <c r="A73" s="73"/>
      <c r="C73" s="46"/>
      <c r="D73" s="28"/>
      <c r="E73" s="18"/>
      <c r="F73" s="47"/>
      <c r="G73" s="47"/>
      <c r="H73" s="730" t="str">
        <f t="shared" ref="H73" si="42">$K$3</f>
        <v>Рекорд края 14-15 лет</v>
      </c>
      <c r="I73" s="733">
        <f>Рекорды!E115</f>
        <v>144.66999999999999</v>
      </c>
    </row>
    <row r="74" spans="1:18" ht="15" customHeight="1">
      <c r="A74" s="73"/>
      <c r="C74" s="46"/>
      <c r="D74" s="28"/>
      <c r="E74" s="18"/>
      <c r="F74" s="47"/>
      <c r="G74" s="47"/>
      <c r="H74" s="730" t="str">
        <f t="shared" ref="H74" si="43">$K$4</f>
        <v>Рекорд края 13 лет и младше</v>
      </c>
      <c r="I74" s="733">
        <f>Рекорды!C115</f>
        <v>149.38999999999999</v>
      </c>
    </row>
    <row r="75" spans="1:18" ht="15" customHeight="1">
      <c r="A75" s="133"/>
      <c r="C75" s="134"/>
      <c r="D75" s="133"/>
      <c r="E75" s="133"/>
      <c r="F75" s="133"/>
      <c r="G75" s="133"/>
      <c r="H75" s="739"/>
      <c r="I75" s="732"/>
      <c r="J75" s="133"/>
    </row>
    <row r="76" spans="1:18" ht="14.25" customHeight="1">
      <c r="A76" s="71"/>
      <c r="C76" s="40" t="s">
        <v>57</v>
      </c>
      <c r="D76" s="42"/>
      <c r="E76" s="43"/>
      <c r="F76" s="41"/>
      <c r="G76" s="41"/>
      <c r="H76" s="738"/>
      <c r="I76" s="733"/>
      <c r="J76" s="41"/>
      <c r="L76" s="1016"/>
      <c r="M76" s="1016"/>
      <c r="N76" s="1017"/>
      <c r="O76" s="1018"/>
      <c r="P76" s="1018"/>
      <c r="Q76" s="1018"/>
      <c r="R76" s="1017"/>
    </row>
    <row r="77" spans="1:18" ht="15" customHeight="1">
      <c r="A77" s="73"/>
      <c r="C77" s="46"/>
      <c r="D77" s="28"/>
      <c r="E77" s="18"/>
      <c r="F77" s="47"/>
      <c r="G77" s="47"/>
      <c r="H77" s="730" t="str">
        <f t="shared" ref="H77" si="44">$K$1</f>
        <v>Рекорд края</v>
      </c>
      <c r="I77" s="733">
        <f>Рекорды!D14</f>
        <v>318.52</v>
      </c>
    </row>
    <row r="78" spans="1:18" ht="15" customHeight="1">
      <c r="A78" s="73"/>
      <c r="C78" s="46"/>
      <c r="D78" s="28"/>
      <c r="E78" s="18"/>
      <c r="F78" s="47"/>
      <c r="G78" s="47"/>
      <c r="H78" s="730" t="str">
        <f t="shared" ref="H78" si="45">$K$2</f>
        <v>Рекорд края 16-17 лет</v>
      </c>
      <c r="I78" s="733">
        <f>Рекорды!B14</f>
        <v>323.08999999999997</v>
      </c>
    </row>
    <row r="79" spans="1:18" ht="15" customHeight="1">
      <c r="A79" s="73"/>
      <c r="C79" s="46"/>
      <c r="D79" s="28"/>
      <c r="E79" s="18"/>
      <c r="F79" s="47"/>
      <c r="G79" s="47"/>
      <c r="H79" s="730" t="str">
        <f t="shared" ref="H79" si="46">$K$3</f>
        <v>Рекорд края 14-15 лет</v>
      </c>
      <c r="I79" s="733">
        <f>Рекорды!D82</f>
        <v>331.09</v>
      </c>
    </row>
    <row r="80" spans="1:18" ht="15" customHeight="1">
      <c r="A80" s="73"/>
      <c r="C80" s="46"/>
      <c r="D80" s="28"/>
      <c r="E80" s="18"/>
      <c r="F80" s="47"/>
      <c r="G80" s="47"/>
      <c r="H80" s="730" t="str">
        <f t="shared" ref="H80" si="47">$K$4</f>
        <v>Рекорд края 13 лет и младше</v>
      </c>
      <c r="I80" s="733">
        <f>Рекорды!B82</f>
        <v>339.29</v>
      </c>
    </row>
    <row r="81" spans="1:10" ht="15" customHeight="1">
      <c r="A81" s="73"/>
      <c r="C81" s="46"/>
      <c r="D81" s="28"/>
      <c r="E81" s="18"/>
      <c r="F81" s="47"/>
      <c r="G81" s="47"/>
      <c r="H81" s="739"/>
      <c r="I81" s="733"/>
      <c r="J81" s="47"/>
    </row>
    <row r="82" spans="1:10" ht="14.25" customHeight="1">
      <c r="A82" s="71"/>
      <c r="C82" s="40" t="s">
        <v>130</v>
      </c>
      <c r="D82" s="42"/>
      <c r="E82" s="43"/>
      <c r="F82" s="41"/>
      <c r="G82" s="41"/>
      <c r="H82" s="738"/>
      <c r="I82" s="733"/>
      <c r="J82" s="133"/>
    </row>
    <row r="83" spans="1:10" ht="15" customHeight="1">
      <c r="A83" s="73"/>
      <c r="C83" s="46"/>
      <c r="D83" s="28"/>
      <c r="E83" s="18"/>
      <c r="F83" s="47"/>
      <c r="G83" s="47"/>
      <c r="H83" s="730" t="str">
        <f t="shared" ref="H83" si="48">$K$1</f>
        <v>Рекорд края</v>
      </c>
      <c r="I83" s="733">
        <f>Рекорды!E14</f>
        <v>305.45</v>
      </c>
      <c r="J83" s="133"/>
    </row>
    <row r="84" spans="1:10" ht="15" customHeight="1">
      <c r="A84" s="73"/>
      <c r="C84" s="46"/>
      <c r="D84" s="28"/>
      <c r="E84" s="18"/>
      <c r="F84" s="47"/>
      <c r="G84" s="47"/>
      <c r="H84" s="730" t="str">
        <f t="shared" ref="H84" si="49">$K$2</f>
        <v>Рекорд края 16-17 лет</v>
      </c>
      <c r="I84" s="733">
        <f>Рекорды!C14</f>
        <v>305.86</v>
      </c>
      <c r="J84" s="47"/>
    </row>
    <row r="85" spans="1:10" ht="15" customHeight="1">
      <c r="A85" s="73"/>
      <c r="C85" s="46"/>
      <c r="D85" s="28"/>
      <c r="E85" s="18"/>
      <c r="F85" s="47"/>
      <c r="G85" s="47"/>
      <c r="H85" s="730" t="str">
        <f t="shared" ref="H85" si="50">$K$3</f>
        <v>Рекорд края 14-15 лет</v>
      </c>
      <c r="I85" s="733">
        <f>Рекорды!E82</f>
        <v>310.17</v>
      </c>
      <c r="J85" s="47"/>
    </row>
    <row r="86" spans="1:10" ht="15" customHeight="1">
      <c r="A86" s="73"/>
      <c r="C86" s="46"/>
      <c r="D86" s="28"/>
      <c r="E86" s="18"/>
      <c r="F86" s="47"/>
      <c r="G86" s="47"/>
      <c r="H86" s="730" t="str">
        <f t="shared" ref="H86" si="51">$K$4</f>
        <v>Рекорд края 13 лет и младше</v>
      </c>
      <c r="I86" s="733">
        <f>Рекорды!C82</f>
        <v>327.27</v>
      </c>
      <c r="J86" s="47"/>
    </row>
    <row r="87" spans="1:10" ht="15" customHeight="1">
      <c r="A87" s="73"/>
      <c r="C87" s="46"/>
      <c r="D87" s="28"/>
      <c r="E87" s="18"/>
      <c r="F87" s="47"/>
      <c r="G87" s="47"/>
      <c r="H87" s="739"/>
      <c r="I87" s="733"/>
      <c r="J87" s="133"/>
    </row>
    <row r="88" spans="1:10" ht="14.25" customHeight="1">
      <c r="A88" s="133"/>
      <c r="C88" s="40" t="s">
        <v>1133</v>
      </c>
      <c r="D88" s="133"/>
      <c r="E88" s="133"/>
      <c r="F88" s="133"/>
      <c r="G88" s="133"/>
      <c r="H88" s="738"/>
      <c r="I88" s="732"/>
      <c r="J88" s="133"/>
    </row>
    <row r="89" spans="1:10" ht="15" customHeight="1">
      <c r="A89" s="133"/>
      <c r="C89" s="134"/>
      <c r="D89" s="133"/>
      <c r="E89" s="133"/>
      <c r="F89" s="133"/>
      <c r="G89" s="133"/>
      <c r="H89" s="730" t="str">
        <f t="shared" ref="H89" si="52">$K$1</f>
        <v>Рекорд края</v>
      </c>
      <c r="I89" s="733" t="str">
        <f>Рекорды!D71</f>
        <v>Девушки</v>
      </c>
    </row>
    <row r="90" spans="1:10" ht="15" customHeight="1">
      <c r="A90" s="73"/>
      <c r="C90" s="46"/>
      <c r="D90" s="28"/>
      <c r="E90" s="18"/>
      <c r="F90" s="47"/>
      <c r="G90" s="47"/>
      <c r="H90" s="730" t="str">
        <f t="shared" ref="H90" si="53">$K$2</f>
        <v>Рекорд края 16-17 лет</v>
      </c>
      <c r="I90" s="733" t="str">
        <f>Рекорды!B71</f>
        <v>Девочки</v>
      </c>
    </row>
    <row r="91" spans="1:10" ht="15" customHeight="1">
      <c r="A91" s="73"/>
      <c r="C91" s="46"/>
      <c r="D91" s="28"/>
      <c r="E91" s="18"/>
      <c r="F91" s="47"/>
      <c r="G91" s="47"/>
      <c r="H91" s="730" t="str">
        <f t="shared" ref="H91" si="54">$K$3</f>
        <v>Рекорд края 14-15 лет</v>
      </c>
      <c r="I91" s="733">
        <f>Рекорды!D139</f>
        <v>0</v>
      </c>
    </row>
    <row r="92" spans="1:10" ht="15" customHeight="1">
      <c r="A92" s="73"/>
      <c r="C92" s="46"/>
      <c r="D92" s="28"/>
      <c r="E92" s="18"/>
      <c r="F92" s="47"/>
      <c r="G92" s="47"/>
      <c r="H92" s="730" t="str">
        <f t="shared" ref="H92" si="55">$K$4</f>
        <v>Рекорд края 13 лет и младше</v>
      </c>
      <c r="I92" s="733">
        <f>Рекорды!B139</f>
        <v>0</v>
      </c>
    </row>
    <row r="93" spans="1:10" ht="15" customHeight="1">
      <c r="A93" s="133"/>
      <c r="C93" s="134"/>
      <c r="D93" s="133"/>
      <c r="E93" s="133"/>
      <c r="F93" s="133"/>
      <c r="G93" s="133"/>
      <c r="H93" s="739"/>
      <c r="I93" s="733"/>
      <c r="J93" s="133"/>
    </row>
    <row r="94" spans="1:10" ht="14.25" customHeight="1">
      <c r="A94" s="133"/>
      <c r="C94" s="40" t="s">
        <v>1134</v>
      </c>
      <c r="D94" s="133"/>
      <c r="E94" s="133"/>
      <c r="F94" s="133"/>
      <c r="G94" s="133"/>
      <c r="H94" s="738"/>
      <c r="I94" s="733"/>
      <c r="J94" s="133"/>
    </row>
    <row r="95" spans="1:10" ht="15" customHeight="1">
      <c r="A95" s="133"/>
      <c r="C95" s="134"/>
      <c r="D95" s="133"/>
      <c r="E95" s="133"/>
      <c r="F95" s="133"/>
      <c r="G95" s="133"/>
      <c r="H95" s="730" t="str">
        <f t="shared" ref="H95" si="56">$K$1</f>
        <v>Рекорд края</v>
      </c>
      <c r="I95" s="733" t="str">
        <f>Рекорды!E71</f>
        <v>Юноши</v>
      </c>
      <c r="J95" s="133"/>
    </row>
    <row r="96" spans="1:10" ht="15" customHeight="1">
      <c r="A96" s="73"/>
      <c r="C96" s="46"/>
      <c r="D96" s="28"/>
      <c r="E96" s="18"/>
      <c r="F96" s="47"/>
      <c r="G96" s="47"/>
      <c r="H96" s="730" t="str">
        <f t="shared" ref="H96" si="57">$K$2</f>
        <v>Рекорд края 16-17 лет</v>
      </c>
      <c r="I96" s="733" t="str">
        <f>Рекорды!C71</f>
        <v>Мальчики</v>
      </c>
    </row>
    <row r="97" spans="1:10" ht="15" customHeight="1">
      <c r="A97" s="73"/>
      <c r="C97" s="46"/>
      <c r="D97" s="28"/>
      <c r="E97" s="18"/>
      <c r="F97" s="47"/>
      <c r="G97" s="47"/>
      <c r="H97" s="730" t="str">
        <f t="shared" ref="H97" si="58">$K$3</f>
        <v>Рекорд края 14-15 лет</v>
      </c>
      <c r="I97" s="733">
        <f>Рекорды!E139</f>
        <v>0</v>
      </c>
    </row>
    <row r="98" spans="1:10" ht="15" customHeight="1">
      <c r="A98" s="73"/>
      <c r="C98" s="46"/>
      <c r="D98" s="28"/>
      <c r="E98" s="18"/>
      <c r="F98" s="47"/>
      <c r="G98" s="47"/>
      <c r="H98" s="730" t="str">
        <f t="shared" ref="H98" si="59">$K$4</f>
        <v>Рекорд края 13 лет и младше</v>
      </c>
      <c r="I98" s="733">
        <f>Рекорды!C139</f>
        <v>0</v>
      </c>
    </row>
    <row r="99" spans="1:10" ht="15" customHeight="1">
      <c r="A99" s="133"/>
      <c r="C99" s="134"/>
      <c r="D99" s="133"/>
      <c r="E99" s="133"/>
      <c r="F99" s="133"/>
      <c r="G99" s="133"/>
      <c r="H99" s="739"/>
      <c r="I99" s="732"/>
      <c r="J99" s="133"/>
    </row>
    <row r="100" spans="1:10" ht="14.25" customHeight="1">
      <c r="A100" s="71"/>
      <c r="C100" s="40" t="s">
        <v>131</v>
      </c>
      <c r="D100" s="42"/>
      <c r="E100" s="43"/>
      <c r="F100" s="41"/>
      <c r="G100" s="41"/>
      <c r="H100" s="738"/>
      <c r="I100" s="733"/>
      <c r="J100" s="41"/>
    </row>
    <row r="101" spans="1:10" ht="15" customHeight="1">
      <c r="A101" s="73"/>
      <c r="C101" s="46"/>
      <c r="D101" s="28"/>
      <c r="E101" s="18"/>
      <c r="F101" s="47"/>
      <c r="G101" s="47"/>
      <c r="H101" s="730" t="str">
        <f t="shared" ref="H101" si="60">$K$1</f>
        <v>Рекорд края</v>
      </c>
      <c r="I101" s="733">
        <f>Рекорды!D17</f>
        <v>705.36</v>
      </c>
    </row>
    <row r="102" spans="1:10" ht="15" customHeight="1">
      <c r="A102" s="73"/>
      <c r="C102" s="46"/>
      <c r="D102" s="28"/>
      <c r="E102" s="18"/>
      <c r="F102" s="47"/>
      <c r="G102" s="47"/>
      <c r="H102" s="730" t="str">
        <f t="shared" ref="H102" si="61">$K$2</f>
        <v>Рекорд края 16-17 лет</v>
      </c>
      <c r="I102" s="733">
        <f>Рекорды!B17</f>
        <v>709.46</v>
      </c>
    </row>
    <row r="103" spans="1:10" ht="15" customHeight="1">
      <c r="A103" s="73"/>
      <c r="C103" s="46"/>
      <c r="D103" s="28"/>
      <c r="E103" s="18"/>
      <c r="F103" s="47"/>
      <c r="G103" s="47"/>
      <c r="H103" s="730" t="str">
        <f t="shared" ref="H103" si="62">$K$3</f>
        <v>Рекорд края 14-15 лет</v>
      </c>
      <c r="I103" s="733">
        <f>Рекорды!D85</f>
        <v>715.49</v>
      </c>
    </row>
    <row r="104" spans="1:10" ht="15" customHeight="1">
      <c r="A104" s="73"/>
      <c r="C104" s="46"/>
      <c r="D104" s="28"/>
      <c r="E104" s="18"/>
      <c r="F104" s="47"/>
      <c r="G104" s="47"/>
      <c r="H104" s="730" t="str">
        <f t="shared" ref="H104" si="63">$K$4</f>
        <v>Рекорд края 13 лет и младше</v>
      </c>
      <c r="I104" s="733">
        <f>Рекорды!B85</f>
        <v>746.47</v>
      </c>
    </row>
    <row r="105" spans="1:10" ht="15" customHeight="1">
      <c r="A105" s="73"/>
      <c r="C105" s="46"/>
      <c r="D105" s="28"/>
      <c r="E105" s="18"/>
      <c r="F105" s="47"/>
      <c r="G105" s="47"/>
      <c r="H105" s="739"/>
      <c r="I105" s="733"/>
      <c r="J105" s="47"/>
    </row>
    <row r="106" spans="1:10" ht="14.25" customHeight="1">
      <c r="A106" s="71"/>
      <c r="C106" s="40" t="s">
        <v>132</v>
      </c>
      <c r="D106" s="42"/>
      <c r="E106" s="43"/>
      <c r="F106" s="41"/>
      <c r="G106" s="41"/>
      <c r="H106" s="738"/>
      <c r="I106" s="733"/>
      <c r="J106" s="133"/>
    </row>
    <row r="107" spans="1:10" ht="15" customHeight="1">
      <c r="A107" s="73"/>
      <c r="C107" s="46"/>
      <c r="D107" s="28"/>
      <c r="E107" s="18"/>
      <c r="F107" s="47"/>
      <c r="G107" s="47"/>
      <c r="H107" s="730" t="str">
        <f t="shared" ref="H107" si="64">$K$1</f>
        <v>Рекорд края</v>
      </c>
      <c r="I107" s="733">
        <f>Рекорды!E17</f>
        <v>639.77</v>
      </c>
      <c r="J107" s="133"/>
    </row>
    <row r="108" spans="1:10" ht="15" customHeight="1">
      <c r="A108" s="73"/>
      <c r="C108" s="46"/>
      <c r="D108" s="28"/>
      <c r="E108" s="18"/>
      <c r="F108" s="47"/>
      <c r="G108" s="47"/>
      <c r="H108" s="730" t="str">
        <f t="shared" ref="H108" si="65">$K$2</f>
        <v>Рекорд края 16-17 лет</v>
      </c>
      <c r="I108" s="733">
        <f>Рекорды!C17</f>
        <v>644.39</v>
      </c>
    </row>
    <row r="109" spans="1:10" ht="15" customHeight="1">
      <c r="A109" s="73"/>
      <c r="C109" s="46"/>
      <c r="D109" s="28"/>
      <c r="E109" s="18"/>
      <c r="F109" s="47"/>
      <c r="G109" s="47"/>
      <c r="H109" s="730" t="str">
        <f t="shared" ref="H109" si="66">$K$3</f>
        <v>Рекорд края 14-15 лет</v>
      </c>
      <c r="I109" s="733">
        <f>Рекорды!E85</f>
        <v>649.41999999999996</v>
      </c>
    </row>
    <row r="110" spans="1:10" ht="15" customHeight="1">
      <c r="A110" s="73"/>
      <c r="C110" s="46"/>
      <c r="D110" s="28"/>
      <c r="E110" s="18"/>
      <c r="F110" s="47"/>
      <c r="G110" s="47"/>
      <c r="H110" s="730" t="str">
        <f t="shared" ref="H110" si="67">$K$4</f>
        <v>Рекорд края 13 лет и младше</v>
      </c>
      <c r="I110" s="733">
        <f>Рекорды!C85</f>
        <v>723.47</v>
      </c>
    </row>
    <row r="111" spans="1:10" ht="15" customHeight="1">
      <c r="A111" s="73"/>
      <c r="C111" s="46"/>
      <c r="D111" s="28"/>
      <c r="E111" s="18"/>
      <c r="F111" s="47"/>
      <c r="G111" s="47"/>
      <c r="H111" s="739"/>
      <c r="I111" s="733"/>
      <c r="J111" s="133"/>
    </row>
    <row r="112" spans="1:10" ht="14.25" customHeight="1">
      <c r="A112" s="71"/>
      <c r="C112" s="40" t="s">
        <v>133</v>
      </c>
      <c r="D112" s="42"/>
      <c r="E112" s="43"/>
      <c r="F112" s="41"/>
      <c r="G112" s="41"/>
      <c r="H112" s="738"/>
      <c r="I112" s="733"/>
      <c r="J112" s="41"/>
    </row>
    <row r="113" spans="1:10" ht="15" customHeight="1">
      <c r="A113" s="73"/>
      <c r="C113" s="46"/>
      <c r="D113" s="28"/>
      <c r="E113" s="18"/>
      <c r="F113" s="47"/>
      <c r="G113" s="47"/>
      <c r="H113" s="730" t="str">
        <f t="shared" ref="H113" si="68">$K$1</f>
        <v>Рекорд края</v>
      </c>
      <c r="I113" s="733">
        <f>Рекорды!D20</f>
        <v>1337.4</v>
      </c>
    </row>
    <row r="114" spans="1:10" ht="15" customHeight="1">
      <c r="A114" s="73"/>
      <c r="C114" s="46"/>
      <c r="D114" s="28"/>
      <c r="E114" s="18"/>
      <c r="F114" s="47"/>
      <c r="G114" s="47"/>
      <c r="H114" s="730" t="str">
        <f t="shared" ref="H114" si="69">$K$2</f>
        <v>Рекорд края 16-17 лет</v>
      </c>
      <c r="I114" s="733">
        <f>Рекорды!B20</f>
        <v>1357.87</v>
      </c>
    </row>
    <row r="115" spans="1:10" ht="15" customHeight="1">
      <c r="A115" s="73"/>
      <c r="C115" s="46"/>
      <c r="D115" s="28"/>
      <c r="E115" s="18"/>
      <c r="F115" s="47"/>
      <c r="G115" s="47"/>
      <c r="H115" s="730" t="str">
        <f t="shared" ref="H115" si="70">$K$3</f>
        <v>Рекорд края 14-15 лет</v>
      </c>
      <c r="I115" s="733">
        <f>Рекорды!D88</f>
        <v>1407.7</v>
      </c>
    </row>
    <row r="116" spans="1:10" ht="15" customHeight="1">
      <c r="A116" s="73"/>
      <c r="C116" s="46"/>
      <c r="D116" s="28"/>
      <c r="E116" s="18"/>
      <c r="F116" s="47"/>
      <c r="G116" s="47"/>
      <c r="H116" s="730" t="str">
        <f t="shared" ref="H116" si="71">$K$4</f>
        <v>Рекорд края 13 лет и младше</v>
      </c>
      <c r="I116" s="733">
        <f>Рекорды!B88</f>
        <v>1506.32</v>
      </c>
    </row>
    <row r="117" spans="1:10" ht="15" customHeight="1">
      <c r="A117" s="133"/>
      <c r="C117" s="134"/>
      <c r="D117" s="133"/>
      <c r="E117" s="133"/>
      <c r="F117" s="133"/>
      <c r="G117" s="133"/>
      <c r="H117" s="739"/>
      <c r="I117" s="732"/>
      <c r="J117" s="133"/>
    </row>
    <row r="118" spans="1:10" ht="14.25" customHeight="1">
      <c r="A118" s="71"/>
      <c r="C118" s="40" t="s">
        <v>134</v>
      </c>
      <c r="D118" s="42"/>
      <c r="E118" s="43"/>
      <c r="F118" s="41"/>
      <c r="G118" s="41"/>
      <c r="H118" s="738"/>
      <c r="I118" s="733"/>
      <c r="J118" s="133"/>
    </row>
    <row r="119" spans="1:10" ht="15" customHeight="1">
      <c r="A119" s="73"/>
      <c r="C119" s="46"/>
      <c r="D119" s="28"/>
      <c r="E119" s="18"/>
      <c r="F119" s="47"/>
      <c r="G119" s="47"/>
      <c r="H119" s="730" t="str">
        <f t="shared" ref="H119" si="72">$K$1</f>
        <v>Рекорд края</v>
      </c>
      <c r="I119" s="733">
        <f>Рекорды!E20</f>
        <v>1249.71</v>
      </c>
      <c r="J119" s="133"/>
    </row>
    <row r="120" spans="1:10" ht="15" customHeight="1">
      <c r="A120" s="73"/>
      <c r="C120" s="46"/>
      <c r="D120" s="28"/>
      <c r="E120" s="18"/>
      <c r="F120" s="47"/>
      <c r="G120" s="47"/>
      <c r="H120" s="730" t="str">
        <f t="shared" ref="H120" si="73">$K$2</f>
        <v>Рекорд края 16-17 лет</v>
      </c>
      <c r="I120" s="733">
        <f>Рекорды!C20</f>
        <v>1331.73</v>
      </c>
    </row>
    <row r="121" spans="1:10" ht="15" customHeight="1">
      <c r="A121" s="73"/>
      <c r="C121" s="46"/>
      <c r="D121" s="28"/>
      <c r="E121" s="18"/>
      <c r="F121" s="47"/>
      <c r="G121" s="47"/>
      <c r="H121" s="730" t="str">
        <f t="shared" ref="H121" si="74">$K$3</f>
        <v>Рекорд края 14-15 лет</v>
      </c>
      <c r="I121" s="733">
        <f>Рекорды!E88</f>
        <v>1351.37</v>
      </c>
    </row>
    <row r="122" spans="1:10" ht="15" customHeight="1">
      <c r="A122" s="73"/>
      <c r="C122" s="46"/>
      <c r="D122" s="28"/>
      <c r="E122" s="18"/>
      <c r="F122" s="47"/>
      <c r="G122" s="47"/>
      <c r="H122" s="730" t="str">
        <f t="shared" ref="H122" si="75">$K$4</f>
        <v>Рекорд края 13 лет и младше</v>
      </c>
      <c r="I122" s="733">
        <f>Рекорды!C88</f>
        <v>1433.92</v>
      </c>
    </row>
    <row r="123" spans="1:10" ht="15" customHeight="1">
      <c r="A123" s="73"/>
      <c r="C123" s="46"/>
      <c r="D123" s="28"/>
      <c r="E123" s="18"/>
      <c r="F123" s="47"/>
      <c r="G123" s="47"/>
      <c r="H123" s="739"/>
      <c r="I123" s="733"/>
      <c r="J123" s="133"/>
    </row>
    <row r="124" spans="1:10" ht="14.25" customHeight="1">
      <c r="A124" s="71"/>
      <c r="C124" s="40" t="s">
        <v>143</v>
      </c>
      <c r="D124" s="42"/>
      <c r="E124" s="43"/>
      <c r="F124" s="41"/>
      <c r="G124" s="41"/>
      <c r="H124" s="738"/>
      <c r="I124" s="733"/>
      <c r="J124" s="133"/>
    </row>
    <row r="125" spans="1:10" ht="15" customHeight="1">
      <c r="A125" s="73"/>
      <c r="C125" s="46"/>
      <c r="D125" s="28"/>
      <c r="E125" s="18"/>
      <c r="F125" s="47"/>
      <c r="G125" s="47"/>
      <c r="H125" s="730" t="str">
        <f t="shared" ref="H125" si="76">$K$1</f>
        <v>Рекорд края</v>
      </c>
      <c r="I125" s="733">
        <f>Рекорды!D37</f>
        <v>16.55</v>
      </c>
    </row>
    <row r="126" spans="1:10" ht="15" customHeight="1">
      <c r="A126" s="73"/>
      <c r="C126" s="46"/>
      <c r="D126" s="28"/>
      <c r="E126" s="18"/>
      <c r="F126" s="47"/>
      <c r="G126" s="47"/>
      <c r="H126" s="730" t="str">
        <f t="shared" ref="H126" si="77">$K$2</f>
        <v>Рекорд края 16-17 лет</v>
      </c>
      <c r="I126" s="733">
        <f>Рекорды!B37</f>
        <v>17.52</v>
      </c>
    </row>
    <row r="127" spans="1:10" ht="15" customHeight="1">
      <c r="A127" s="73"/>
      <c r="C127" s="46"/>
      <c r="D127" s="28"/>
      <c r="E127" s="18"/>
      <c r="F127" s="47"/>
      <c r="G127" s="47"/>
      <c r="H127" s="730" t="str">
        <f t="shared" ref="H127" si="78">$K$3</f>
        <v>Рекорд края 14-15 лет</v>
      </c>
      <c r="I127" s="733">
        <f>Рекорды!D105</f>
        <v>17.59</v>
      </c>
    </row>
    <row r="128" spans="1:10" ht="15" customHeight="1">
      <c r="A128" s="73"/>
      <c r="C128" s="46"/>
      <c r="D128" s="28"/>
      <c r="E128" s="18"/>
      <c r="F128" s="47"/>
      <c r="G128" s="47"/>
      <c r="H128" s="730" t="str">
        <f t="shared" ref="H128" si="79">$K$4</f>
        <v>Рекорд края 13 лет и младше</v>
      </c>
      <c r="I128" s="733">
        <f>Рекорды!B105</f>
        <v>18.190000000000001</v>
      </c>
    </row>
    <row r="129" spans="1:10" ht="15" customHeight="1">
      <c r="A129" s="73"/>
      <c r="C129" s="46"/>
      <c r="D129" s="28"/>
      <c r="E129" s="18"/>
      <c r="F129" s="47"/>
      <c r="G129" s="47"/>
      <c r="H129" s="739"/>
      <c r="I129" s="733"/>
      <c r="J129" s="133"/>
    </row>
    <row r="130" spans="1:10" ht="14.25" customHeight="1">
      <c r="A130" s="73"/>
      <c r="C130" s="40" t="s">
        <v>144</v>
      </c>
      <c r="D130" s="28"/>
      <c r="E130" s="18"/>
      <c r="F130" s="47"/>
      <c r="G130" s="47"/>
      <c r="H130" s="738"/>
      <c r="I130" s="733"/>
      <c r="J130" s="133"/>
    </row>
    <row r="131" spans="1:10" ht="15" customHeight="1">
      <c r="A131" s="133"/>
      <c r="C131" s="134"/>
      <c r="D131" s="133"/>
      <c r="E131" s="133"/>
      <c r="F131" s="133"/>
      <c r="G131" s="133"/>
      <c r="H131" s="730" t="str">
        <f t="shared" ref="H131" si="80">$K$1</f>
        <v>Рекорд края</v>
      </c>
      <c r="I131" s="733">
        <f>Рекорды!E37</f>
        <v>14.92</v>
      </c>
      <c r="J131" s="133"/>
    </row>
    <row r="132" spans="1:10" ht="15" customHeight="1">
      <c r="A132" s="73"/>
      <c r="C132" s="46"/>
      <c r="D132" s="28"/>
      <c r="E132" s="18"/>
      <c r="F132" s="47"/>
      <c r="G132" s="47"/>
      <c r="H132" s="730" t="str">
        <f t="shared" ref="H132" si="81">$K$2</f>
        <v>Рекорд края 16-17 лет</v>
      </c>
      <c r="I132" s="733">
        <f>Рекорды!C37</f>
        <v>15.36</v>
      </c>
    </row>
    <row r="133" spans="1:10" ht="15" customHeight="1">
      <c r="A133" s="73"/>
      <c r="C133" s="46"/>
      <c r="D133" s="28"/>
      <c r="E133" s="18"/>
      <c r="F133" s="47"/>
      <c r="G133" s="47"/>
      <c r="H133" s="730" t="str">
        <f t="shared" ref="H133" si="82">$K$3</f>
        <v>Рекорд края 14-15 лет</v>
      </c>
      <c r="I133" s="733">
        <f>Рекорды!E105</f>
        <v>15.71</v>
      </c>
    </row>
    <row r="134" spans="1:10" ht="15" customHeight="1">
      <c r="A134" s="73"/>
      <c r="C134" s="46"/>
      <c r="D134" s="28"/>
      <c r="E134" s="18"/>
      <c r="F134" s="47"/>
      <c r="G134" s="47"/>
      <c r="H134" s="730" t="str">
        <f t="shared" ref="H134" si="83">$K$4</f>
        <v>Рекорд края 13 лет и младше</v>
      </c>
      <c r="I134" s="733">
        <f>Рекорды!C105</f>
        <v>16.649999999999999</v>
      </c>
    </row>
    <row r="135" spans="1:10" ht="15" customHeight="1">
      <c r="A135" s="133"/>
      <c r="C135" s="134"/>
      <c r="D135" s="133"/>
      <c r="E135" s="133"/>
      <c r="F135" s="133"/>
      <c r="G135" s="133"/>
      <c r="H135" s="739"/>
      <c r="I135" s="733"/>
      <c r="J135" s="133"/>
    </row>
    <row r="136" spans="1:10" ht="14.25" customHeight="1">
      <c r="A136" s="71"/>
      <c r="C136" s="40" t="s">
        <v>135</v>
      </c>
      <c r="D136" s="42"/>
      <c r="E136" s="43"/>
      <c r="F136" s="41"/>
      <c r="G136" s="41"/>
      <c r="H136" s="738"/>
      <c r="I136" s="733"/>
      <c r="J136" s="133"/>
    </row>
    <row r="137" spans="1:10" ht="15" customHeight="1">
      <c r="A137" s="73"/>
      <c r="C137" s="46"/>
      <c r="D137" s="28"/>
      <c r="E137" s="18"/>
      <c r="F137" s="47"/>
      <c r="G137" s="47"/>
      <c r="H137" s="730" t="str">
        <f t="shared" ref="H137" si="84">$K$1</f>
        <v>Рекорд края</v>
      </c>
      <c r="I137" s="733">
        <f>Рекорды!D24</f>
        <v>36.68</v>
      </c>
    </row>
    <row r="138" spans="1:10" ht="15" customHeight="1">
      <c r="A138" s="73"/>
      <c r="C138" s="46"/>
      <c r="D138" s="28"/>
      <c r="E138" s="18"/>
      <c r="F138" s="47"/>
      <c r="G138" s="47"/>
      <c r="H138" s="730" t="str">
        <f t="shared" ref="H138" si="85">$K$2</f>
        <v>Рекорд края 16-17 лет</v>
      </c>
      <c r="I138" s="733">
        <f>Рекорды!B24</f>
        <v>38.78</v>
      </c>
    </row>
    <row r="139" spans="1:10" ht="15" customHeight="1">
      <c r="A139" s="73"/>
      <c r="C139" s="46"/>
      <c r="D139" s="28"/>
      <c r="E139" s="18"/>
      <c r="F139" s="47"/>
      <c r="G139" s="47"/>
      <c r="H139" s="730" t="str">
        <f t="shared" ref="H139" si="86">$K$3</f>
        <v>Рекорд края 14-15 лет</v>
      </c>
      <c r="I139" s="733">
        <f>Рекорды!D92</f>
        <v>40.01</v>
      </c>
    </row>
    <row r="140" spans="1:10" ht="15" customHeight="1">
      <c r="A140" s="73"/>
      <c r="C140" s="46"/>
      <c r="D140" s="28"/>
      <c r="E140" s="18"/>
      <c r="F140" s="47"/>
      <c r="G140" s="47"/>
      <c r="H140" s="730" t="str">
        <f t="shared" ref="H140" si="87">$K$4</f>
        <v>Рекорд края 13 лет и младше</v>
      </c>
      <c r="I140" s="733">
        <f>Рекорды!B92</f>
        <v>41.41</v>
      </c>
    </row>
    <row r="141" spans="1:10" ht="15" customHeight="1">
      <c r="A141" s="73"/>
      <c r="C141" s="46"/>
      <c r="D141" s="28"/>
      <c r="E141" s="18"/>
      <c r="F141" s="47"/>
      <c r="G141" s="47"/>
      <c r="H141" s="739"/>
      <c r="I141" s="733"/>
      <c r="J141" s="133"/>
    </row>
    <row r="142" spans="1:10" ht="14.25" customHeight="1">
      <c r="A142" s="133"/>
      <c r="C142" s="40" t="s">
        <v>136</v>
      </c>
      <c r="D142" s="133"/>
      <c r="E142" s="133"/>
      <c r="F142" s="136"/>
      <c r="G142" s="136"/>
      <c r="H142" s="738"/>
      <c r="I142" s="735"/>
      <c r="J142" s="137"/>
    </row>
    <row r="143" spans="1:10" ht="15" customHeight="1">
      <c r="A143" s="133"/>
      <c r="C143" s="46"/>
      <c r="D143" s="133"/>
      <c r="E143" s="133"/>
      <c r="F143" s="133"/>
      <c r="G143" s="133"/>
      <c r="H143" s="730" t="str">
        <f t="shared" ref="H143" si="88">$K$1</f>
        <v>Рекорд края</v>
      </c>
      <c r="I143" s="733">
        <f>Рекорды!E24</f>
        <v>33.19</v>
      </c>
      <c r="J143" s="133"/>
    </row>
    <row r="144" spans="1:10" ht="15" customHeight="1">
      <c r="A144" s="73"/>
      <c r="C144" s="46"/>
      <c r="D144" s="28"/>
      <c r="E144" s="18"/>
      <c r="F144" s="47"/>
      <c r="G144" s="47"/>
      <c r="H144" s="730" t="str">
        <f t="shared" ref="H144" si="89">$K$2</f>
        <v>Рекорд края 16-17 лет</v>
      </c>
      <c r="I144" s="733">
        <f>Рекорды!C24</f>
        <v>34.04</v>
      </c>
    </row>
    <row r="145" spans="1:10" ht="15" customHeight="1">
      <c r="A145" s="73"/>
      <c r="C145" s="46"/>
      <c r="D145" s="28"/>
      <c r="E145" s="18"/>
      <c r="F145" s="47"/>
      <c r="G145" s="47"/>
      <c r="H145" s="730" t="str">
        <f t="shared" ref="H145" si="90">$K$3</f>
        <v>Рекорд края 14-15 лет</v>
      </c>
      <c r="I145" s="733">
        <f>Рекорды!E92</f>
        <v>36.479999999999997</v>
      </c>
    </row>
    <row r="146" spans="1:10" ht="15" customHeight="1">
      <c r="A146" s="73"/>
      <c r="C146" s="46"/>
      <c r="D146" s="28"/>
      <c r="E146" s="18"/>
      <c r="F146" s="47"/>
      <c r="G146" s="47"/>
      <c r="H146" s="730" t="str">
        <f t="shared" ref="H146" si="91">$K$4</f>
        <v>Рекорд края 13 лет и младше</v>
      </c>
      <c r="I146" s="733">
        <f>Рекорды!C92</f>
        <v>39.1</v>
      </c>
    </row>
    <row r="147" spans="1:10" ht="15" customHeight="1">
      <c r="A147" s="133"/>
      <c r="C147" s="46"/>
      <c r="D147" s="133"/>
      <c r="E147" s="133"/>
      <c r="F147" s="133"/>
      <c r="G147" s="133"/>
      <c r="H147" s="739"/>
      <c r="I147" s="733"/>
      <c r="J147" s="133"/>
    </row>
    <row r="148" spans="1:10" ht="14.25" customHeight="1">
      <c r="A148" s="71"/>
      <c r="C148" s="40" t="s">
        <v>137</v>
      </c>
      <c r="D148" s="42"/>
      <c r="E148" s="43"/>
      <c r="F148" s="41"/>
      <c r="G148" s="41"/>
      <c r="H148" s="738"/>
      <c r="I148" s="733"/>
      <c r="J148" s="133"/>
    </row>
    <row r="149" spans="1:10" ht="15" customHeight="1">
      <c r="A149" s="73"/>
      <c r="C149" s="46"/>
      <c r="D149" s="28"/>
      <c r="E149" s="18"/>
      <c r="F149" s="47"/>
      <c r="G149" s="47"/>
      <c r="H149" s="730" t="str">
        <f t="shared" ref="H149" si="92">$K$1</f>
        <v>Рекорд края</v>
      </c>
      <c r="I149" s="733">
        <f>Рекорды!D27</f>
        <v>302.88</v>
      </c>
    </row>
    <row r="150" spans="1:10" ht="15" customHeight="1">
      <c r="A150" s="73"/>
      <c r="C150" s="46"/>
      <c r="D150" s="28"/>
      <c r="E150" s="18"/>
      <c r="F150" s="47"/>
      <c r="G150" s="47"/>
      <c r="H150" s="730" t="str">
        <f t="shared" ref="H150" si="93">$K$2</f>
        <v>Рекорд края 16-17 лет</v>
      </c>
      <c r="I150" s="733">
        <f>Рекорды!B27</f>
        <v>313.58</v>
      </c>
    </row>
    <row r="151" spans="1:10" ht="15" customHeight="1">
      <c r="A151" s="73"/>
      <c r="C151" s="46"/>
      <c r="D151" s="28"/>
      <c r="E151" s="18"/>
      <c r="F151" s="47"/>
      <c r="G151" s="47"/>
      <c r="H151" s="730" t="str">
        <f t="shared" ref="H151" si="94">$K$3</f>
        <v>Рекорд края 14-15 лет</v>
      </c>
      <c r="I151" s="733">
        <f>Рекорды!D95</f>
        <v>323.57</v>
      </c>
    </row>
    <row r="152" spans="1:10" ht="15" customHeight="1">
      <c r="A152" s="73"/>
      <c r="C152" s="46"/>
      <c r="D152" s="28"/>
      <c r="E152" s="18"/>
      <c r="F152" s="47"/>
      <c r="G152" s="47"/>
      <c r="H152" s="730" t="str">
        <f t="shared" ref="H152" si="95">$K$4</f>
        <v>Рекорд края 13 лет и младше</v>
      </c>
      <c r="I152" s="733">
        <f>Рекорды!B95</f>
        <v>339.88</v>
      </c>
    </row>
    <row r="153" spans="1:10" ht="15" customHeight="1">
      <c r="A153" s="73"/>
      <c r="C153" s="46"/>
      <c r="D153" s="28"/>
      <c r="E153" s="18"/>
      <c r="F153" s="47"/>
      <c r="G153" s="47"/>
      <c r="H153" s="739"/>
      <c r="I153" s="733"/>
      <c r="J153" s="133"/>
    </row>
    <row r="154" spans="1:10" ht="14.25" customHeight="1">
      <c r="A154" s="133"/>
      <c r="C154" s="40" t="s">
        <v>138</v>
      </c>
      <c r="D154" s="133"/>
      <c r="E154" s="133"/>
      <c r="F154" s="133"/>
      <c r="G154" s="133"/>
      <c r="H154" s="738"/>
      <c r="I154" s="735"/>
      <c r="J154" s="133"/>
    </row>
    <row r="155" spans="1:10" ht="15" customHeight="1">
      <c r="A155" s="133"/>
      <c r="C155" s="134"/>
      <c r="D155" s="133"/>
      <c r="E155" s="133"/>
      <c r="F155" s="133"/>
      <c r="G155" s="133"/>
      <c r="H155" s="730" t="str">
        <f t="shared" ref="H155" si="96">$K$1</f>
        <v>Рекорд края</v>
      </c>
      <c r="I155" s="733">
        <f>Рекорды!E27</f>
        <v>247.22</v>
      </c>
      <c r="J155" s="133"/>
    </row>
    <row r="156" spans="1:10" ht="15" customHeight="1">
      <c r="A156" s="73"/>
      <c r="C156" s="46"/>
      <c r="D156" s="28"/>
      <c r="E156" s="18"/>
      <c r="F156" s="47"/>
      <c r="G156" s="47"/>
      <c r="H156" s="730" t="str">
        <f t="shared" ref="H156" si="97">$K$2</f>
        <v>Рекорд края 16-17 лет</v>
      </c>
      <c r="I156" s="733">
        <f>Рекорды!C27</f>
        <v>254.92</v>
      </c>
    </row>
    <row r="157" spans="1:10" ht="15" customHeight="1">
      <c r="A157" s="73"/>
      <c r="C157" s="46"/>
      <c r="D157" s="28"/>
      <c r="E157" s="18"/>
      <c r="F157" s="47"/>
      <c r="G157" s="47"/>
      <c r="H157" s="730" t="str">
        <f t="shared" ref="H157" si="98">$K$3</f>
        <v>Рекорд края 14-15 лет</v>
      </c>
      <c r="I157" s="733">
        <f>Рекорды!E95</f>
        <v>304.49</v>
      </c>
    </row>
    <row r="158" spans="1:10" ht="15" customHeight="1">
      <c r="A158" s="73"/>
      <c r="C158" s="46"/>
      <c r="D158" s="28"/>
      <c r="E158" s="18"/>
      <c r="F158" s="47"/>
      <c r="G158" s="47"/>
      <c r="H158" s="730" t="str">
        <f t="shared" ref="H158" si="99">$K$4</f>
        <v>Рекорд края 13 лет и младше</v>
      </c>
      <c r="I158" s="733">
        <f>Рекорды!C95</f>
        <v>338.06</v>
      </c>
    </row>
    <row r="159" spans="1:10" ht="15" customHeight="1">
      <c r="A159" s="133"/>
      <c r="C159" s="134"/>
      <c r="D159" s="133"/>
      <c r="E159" s="133"/>
      <c r="F159" s="133"/>
      <c r="G159" s="133"/>
      <c r="H159" s="739"/>
      <c r="I159" s="733"/>
      <c r="J159" s="133"/>
    </row>
    <row r="160" spans="1:10" ht="14.25" customHeight="1">
      <c r="A160" s="71"/>
      <c r="C160" s="40" t="s">
        <v>139</v>
      </c>
      <c r="D160" s="42"/>
      <c r="E160" s="43"/>
      <c r="F160" s="41"/>
      <c r="G160" s="41"/>
      <c r="H160" s="738"/>
      <c r="I160" s="733"/>
      <c r="J160" s="133"/>
    </row>
    <row r="161" spans="1:10" ht="15" customHeight="1">
      <c r="A161" s="73"/>
      <c r="C161" s="46"/>
      <c r="D161" s="28"/>
      <c r="E161" s="18"/>
      <c r="F161" s="47"/>
      <c r="G161" s="47"/>
      <c r="H161" s="730" t="str">
        <f t="shared" ref="H161" si="100">$K$1</f>
        <v>Рекорд края</v>
      </c>
      <c r="I161" s="733">
        <f>Рекорды!D30</f>
        <v>631.66999999999996</v>
      </c>
    </row>
    <row r="162" spans="1:10" ht="15" customHeight="1">
      <c r="A162" s="73"/>
      <c r="C162" s="46"/>
      <c r="D162" s="28"/>
      <c r="E162" s="18"/>
      <c r="F162" s="47"/>
      <c r="G162" s="47"/>
      <c r="H162" s="730" t="str">
        <f t="shared" ref="H162" si="101">$K$2</f>
        <v>Рекорд края 16-17 лет</v>
      </c>
      <c r="I162" s="733">
        <f>Рекорды!B30</f>
        <v>649.94000000000005</v>
      </c>
    </row>
    <row r="163" spans="1:10" ht="15" customHeight="1">
      <c r="A163" s="73"/>
      <c r="C163" s="46"/>
      <c r="D163" s="28"/>
      <c r="E163" s="18"/>
      <c r="F163" s="47"/>
      <c r="G163" s="47"/>
      <c r="H163" s="730" t="str">
        <f t="shared" ref="H163" si="102">$K$3</f>
        <v>Рекорд края 14-15 лет</v>
      </c>
      <c r="I163" s="733">
        <f>Рекорды!D98</f>
        <v>733.18</v>
      </c>
    </row>
    <row r="164" spans="1:10" ht="15" customHeight="1">
      <c r="A164" s="73"/>
      <c r="C164" s="46"/>
      <c r="D164" s="28"/>
      <c r="E164" s="18"/>
      <c r="F164" s="47"/>
      <c r="G164" s="47"/>
      <c r="H164" s="730" t="str">
        <f t="shared" ref="H164" si="103">$K$4</f>
        <v>Рекорд края 13 лет и младше</v>
      </c>
      <c r="I164" s="733">
        <f>Рекорды!B98</f>
        <v>746.47</v>
      </c>
    </row>
    <row r="165" spans="1:10" ht="15" customHeight="1">
      <c r="A165" s="73"/>
      <c r="C165" s="46"/>
      <c r="D165" s="28"/>
      <c r="E165" s="18"/>
      <c r="F165" s="47"/>
      <c r="G165" s="47"/>
      <c r="H165" s="739"/>
      <c r="I165" s="733"/>
      <c r="J165" s="133"/>
    </row>
    <row r="166" spans="1:10" ht="14.25" customHeight="1">
      <c r="A166" s="133"/>
      <c r="C166" s="40" t="s">
        <v>140</v>
      </c>
      <c r="D166" s="133"/>
      <c r="E166" s="133"/>
      <c r="F166" s="133"/>
      <c r="G166" s="133"/>
      <c r="H166" s="738"/>
      <c r="I166" s="735"/>
      <c r="J166" s="133"/>
    </row>
    <row r="167" spans="1:10" ht="15" customHeight="1">
      <c r="A167" s="133"/>
      <c r="C167" s="46"/>
      <c r="D167" s="133"/>
      <c r="E167" s="133"/>
      <c r="F167" s="133"/>
      <c r="G167" s="133"/>
      <c r="H167" s="730" t="str">
        <f t="shared" ref="H167" si="104">$K$1</f>
        <v>Рекорд края</v>
      </c>
      <c r="I167" s="733">
        <f>Рекорды!E30</f>
        <v>601.66</v>
      </c>
      <c r="J167" s="133"/>
    </row>
    <row r="168" spans="1:10" ht="15" customHeight="1">
      <c r="A168" s="73"/>
      <c r="C168" s="46"/>
      <c r="D168" s="28"/>
      <c r="E168" s="18"/>
      <c r="F168" s="47"/>
      <c r="G168" s="47"/>
      <c r="H168" s="730" t="str">
        <f t="shared" ref="H168" si="105">$K$2</f>
        <v>Рекорд края 16-17 лет</v>
      </c>
      <c r="I168" s="733">
        <f>Рекорды!C30</f>
        <v>617.28</v>
      </c>
    </row>
    <row r="169" spans="1:10" ht="15" customHeight="1">
      <c r="A169" s="73"/>
      <c r="C169" s="46"/>
      <c r="D169" s="28"/>
      <c r="E169" s="18"/>
      <c r="F169" s="47"/>
      <c r="G169" s="47"/>
      <c r="H169" s="730" t="str">
        <f t="shared" ref="H169" si="106">$K$3</f>
        <v>Рекорд края 14-15 лет</v>
      </c>
      <c r="I169" s="733">
        <f>Рекорды!E98</f>
        <v>640.4</v>
      </c>
    </row>
    <row r="170" spans="1:10" ht="15" customHeight="1">
      <c r="A170" s="73"/>
      <c r="C170" s="46"/>
      <c r="D170" s="28"/>
      <c r="E170" s="18"/>
      <c r="F170" s="47"/>
      <c r="G170" s="47"/>
      <c r="H170" s="730" t="str">
        <f t="shared" ref="H170" si="107">$K$4</f>
        <v>Рекорд края 13 лет и младше</v>
      </c>
      <c r="I170" s="733">
        <f>Рекорды!C98</f>
        <v>738.1</v>
      </c>
    </row>
    <row r="171" spans="1:10" ht="15" customHeight="1">
      <c r="A171" s="133"/>
      <c r="C171" s="134"/>
      <c r="D171" s="133"/>
      <c r="E171" s="133"/>
      <c r="F171" s="133"/>
      <c r="G171" s="133"/>
      <c r="H171" s="739"/>
      <c r="I171" s="732"/>
      <c r="J171" s="133"/>
    </row>
    <row r="172" spans="1:10" ht="14.25" customHeight="1">
      <c r="A172" s="71"/>
      <c r="C172" s="40" t="s">
        <v>141</v>
      </c>
      <c r="D172" s="42"/>
      <c r="E172" s="43"/>
      <c r="F172" s="41"/>
      <c r="G172" s="41"/>
      <c r="H172" s="738"/>
      <c r="I172" s="733"/>
      <c r="J172" s="133"/>
    </row>
    <row r="173" spans="1:10" ht="15.75" customHeight="1">
      <c r="A173" s="73"/>
      <c r="C173" s="46"/>
      <c r="D173" s="28"/>
      <c r="E173" s="18"/>
      <c r="F173" s="47"/>
      <c r="G173" s="47"/>
      <c r="H173" s="730" t="str">
        <f t="shared" ref="H173" si="108">$K$1</f>
        <v>Рекорд края</v>
      </c>
      <c r="I173" s="733">
        <f>Рекорды!D34</f>
        <v>8.1</v>
      </c>
    </row>
    <row r="174" spans="1:10" ht="15" customHeight="1">
      <c r="A174" s="73"/>
      <c r="C174" s="46"/>
      <c r="D174" s="28"/>
      <c r="E174" s="18"/>
      <c r="F174" s="47"/>
      <c r="G174" s="47"/>
      <c r="H174" s="730" t="str">
        <f t="shared" ref="H174" si="109">$K$2</f>
        <v>Рекорд края 16-17 лет</v>
      </c>
      <c r="I174" s="733">
        <f>Рекорды!B34</f>
        <v>8.36</v>
      </c>
    </row>
    <row r="175" spans="1:10" ht="15" customHeight="1">
      <c r="A175" s="73"/>
      <c r="C175" s="46"/>
      <c r="D175" s="28"/>
      <c r="E175" s="18"/>
      <c r="F175" s="47"/>
      <c r="G175" s="47"/>
      <c r="H175" s="730" t="str">
        <f t="shared" ref="H175" si="110">$K$3</f>
        <v>Рекорд края 14-15 лет</v>
      </c>
      <c r="I175" s="733">
        <f>Рекорды!D102</f>
        <v>8.81</v>
      </c>
    </row>
    <row r="176" spans="1:10" ht="15" customHeight="1">
      <c r="A176" s="73"/>
      <c r="C176" s="46"/>
      <c r="D176" s="28"/>
      <c r="E176" s="18"/>
      <c r="F176" s="47"/>
      <c r="G176" s="47"/>
      <c r="H176" s="730" t="str">
        <f t="shared" ref="H176" si="111">$K$4</f>
        <v>Рекорд края 13 лет и младше</v>
      </c>
      <c r="I176" s="733">
        <f>Рекорды!B102</f>
        <v>8.81</v>
      </c>
    </row>
    <row r="177" spans="1:10" ht="15" customHeight="1">
      <c r="A177" s="73"/>
      <c r="C177" s="46"/>
      <c r="D177" s="28"/>
      <c r="E177" s="18"/>
      <c r="F177" s="47"/>
      <c r="G177" s="47"/>
      <c r="H177" s="739"/>
      <c r="I177" s="733"/>
      <c r="J177" s="133"/>
    </row>
    <row r="178" spans="1:10" ht="14.25" customHeight="1">
      <c r="A178" s="73"/>
      <c r="C178" s="40" t="s">
        <v>142</v>
      </c>
      <c r="D178" s="28"/>
      <c r="E178" s="18"/>
      <c r="F178" s="47"/>
      <c r="G178" s="47"/>
      <c r="H178" s="738"/>
      <c r="I178" s="733"/>
      <c r="J178" s="133"/>
    </row>
    <row r="179" spans="1:10" ht="15" customHeight="1">
      <c r="A179" s="133"/>
      <c r="C179" s="134"/>
      <c r="D179" s="133"/>
      <c r="E179" s="133"/>
      <c r="F179" s="133"/>
      <c r="G179" s="133"/>
      <c r="H179" s="730" t="str">
        <f t="shared" ref="H179" si="112">$K$1</f>
        <v>Рекорд края</v>
      </c>
      <c r="I179" s="733">
        <f>Рекорды!E34</f>
        <v>7.14</v>
      </c>
      <c r="J179" s="133"/>
    </row>
    <row r="180" spans="1:10" ht="15" customHeight="1">
      <c r="A180" s="73"/>
      <c r="C180" s="46"/>
      <c r="D180" s="28"/>
      <c r="E180" s="18"/>
      <c r="F180" s="47"/>
      <c r="G180" s="47"/>
      <c r="H180" s="730" t="str">
        <f t="shared" ref="H180" si="113">$K$2</f>
        <v>Рекорд края 16-17 лет</v>
      </c>
      <c r="I180" s="733">
        <f>Рекорды!C34</f>
        <v>7.31</v>
      </c>
    </row>
    <row r="181" spans="1:10" ht="15" customHeight="1">
      <c r="A181" s="73"/>
      <c r="C181" s="46"/>
      <c r="D181" s="28"/>
      <c r="E181" s="18"/>
      <c r="F181" s="47"/>
      <c r="G181" s="47"/>
      <c r="H181" s="730" t="str">
        <f t="shared" ref="H181" si="114">$K$3</f>
        <v>Рекорд края 14-15 лет</v>
      </c>
      <c r="I181" s="733">
        <f>Рекорды!E102</f>
        <v>7.7</v>
      </c>
    </row>
    <row r="182" spans="1:10" ht="15" customHeight="1">
      <c r="A182" s="73"/>
      <c r="C182" s="46"/>
      <c r="D182" s="28"/>
      <c r="E182" s="18"/>
      <c r="F182" s="47"/>
      <c r="G182" s="47"/>
      <c r="H182" s="730" t="str">
        <f t="shared" ref="H182" si="115">$K$4</f>
        <v>Рекорд края 13 лет и младше</v>
      </c>
      <c r="I182" s="733">
        <f>Рекорды!C102</f>
        <v>8.11</v>
      </c>
    </row>
    <row r="183" spans="1:10" ht="15" customHeight="1">
      <c r="A183" s="133"/>
      <c r="C183" s="134"/>
      <c r="D183" s="133"/>
      <c r="E183" s="133"/>
      <c r="F183" s="133"/>
      <c r="G183" s="133"/>
      <c r="H183" s="739"/>
      <c r="I183" s="733"/>
      <c r="J183" s="133"/>
    </row>
    <row r="184" spans="1:10" ht="14.25" customHeight="1">
      <c r="A184" s="133"/>
      <c r="C184" s="135" t="s">
        <v>151</v>
      </c>
      <c r="D184" s="133"/>
      <c r="E184" s="133"/>
      <c r="F184" s="133"/>
      <c r="G184" s="133"/>
      <c r="H184" s="738"/>
      <c r="I184" s="732"/>
      <c r="J184" s="133"/>
    </row>
    <row r="185" spans="1:10" ht="15" customHeight="1">
      <c r="A185" s="133"/>
      <c r="C185" s="134"/>
      <c r="D185" s="133"/>
      <c r="E185" s="133"/>
      <c r="F185" s="133"/>
      <c r="G185" s="133"/>
      <c r="H185" s="730" t="str">
        <f>$K$1</f>
        <v>Рекорд края</v>
      </c>
      <c r="I185" s="732">
        <f>Рекорды!D51</f>
        <v>113.61</v>
      </c>
    </row>
    <row r="186" spans="1:10" ht="15" customHeight="1">
      <c r="A186" s="73"/>
      <c r="C186" s="46"/>
      <c r="D186" s="28"/>
      <c r="E186" s="18"/>
      <c r="F186" s="47"/>
      <c r="G186" s="47"/>
      <c r="H186" s="730" t="str">
        <f>$K$1</f>
        <v>Рекорд края</v>
      </c>
      <c r="I186" s="733">
        <f>Рекорды!D5</f>
        <v>17.940000000000001</v>
      </c>
    </row>
    <row r="187" spans="1:10" ht="15" customHeight="1">
      <c r="A187" s="133"/>
      <c r="C187" s="134"/>
      <c r="D187" s="133"/>
      <c r="E187" s="133"/>
      <c r="F187" s="133"/>
      <c r="G187" s="133"/>
      <c r="H187" s="730" t="str">
        <f t="shared" ref="H187:H188" si="116">$K$2</f>
        <v>Рекорд края 16-17 лет</v>
      </c>
      <c r="I187" s="732">
        <f>Рекорды!B51</f>
        <v>120.15</v>
      </c>
    </row>
    <row r="188" spans="1:10" ht="15" customHeight="1">
      <c r="A188" s="73"/>
      <c r="C188" s="46"/>
      <c r="D188" s="28"/>
      <c r="E188" s="18"/>
      <c r="F188" s="47"/>
      <c r="G188" s="47"/>
      <c r="H188" s="730" t="str">
        <f t="shared" si="116"/>
        <v>Рекорд края 16-17 лет</v>
      </c>
      <c r="I188" s="733">
        <f>Рекорды!B5</f>
        <v>18.920000000000002</v>
      </c>
    </row>
    <row r="189" spans="1:10" ht="15" customHeight="1">
      <c r="A189" s="73"/>
      <c r="C189" s="46"/>
      <c r="D189" s="28"/>
      <c r="E189" s="18"/>
      <c r="F189" s="47"/>
      <c r="G189" s="47"/>
      <c r="H189" s="730" t="str">
        <f t="shared" ref="H189:H190" si="117">$K$3</f>
        <v>Рекорд края 14-15 лет</v>
      </c>
      <c r="I189" s="732">
        <f>Рекорды!D119</f>
        <v>124.17</v>
      </c>
    </row>
    <row r="190" spans="1:10" ht="15" customHeight="1">
      <c r="A190" s="73"/>
      <c r="C190" s="46"/>
      <c r="D190" s="28"/>
      <c r="E190" s="18"/>
      <c r="F190" s="47"/>
      <c r="G190" s="47"/>
      <c r="H190" s="730" t="str">
        <f t="shared" si="117"/>
        <v>Рекорд края 14-15 лет</v>
      </c>
      <c r="I190" s="733">
        <f>Рекорды!D73</f>
        <v>19.11</v>
      </c>
    </row>
    <row r="191" spans="1:10" ht="15" customHeight="1">
      <c r="A191" s="73"/>
      <c r="C191" s="46"/>
      <c r="D191" s="28"/>
      <c r="E191" s="18"/>
      <c r="F191" s="47"/>
      <c r="G191" s="47"/>
      <c r="H191" s="730" t="str">
        <f t="shared" ref="H191:H192" si="118">$K$4</f>
        <v>Рекорд края 13 лет и младше</v>
      </c>
      <c r="I191" s="733">
        <f>Рекорды!B119</f>
        <v>125.14</v>
      </c>
    </row>
    <row r="192" spans="1:10" ht="15" customHeight="1">
      <c r="A192" s="73"/>
      <c r="C192" s="46"/>
      <c r="D192" s="28"/>
      <c r="E192" s="18"/>
      <c r="F192" s="47"/>
      <c r="G192" s="47"/>
      <c r="H192" s="730" t="str">
        <f t="shared" si="118"/>
        <v>Рекорд края 13 лет и младше</v>
      </c>
      <c r="I192" s="733">
        <f>Рекорды!B73</f>
        <v>19.850000000000001</v>
      </c>
    </row>
    <row r="193" spans="1:10" ht="12.75" customHeight="1">
      <c r="A193" s="144"/>
      <c r="C193" s="144"/>
      <c r="D193" s="144"/>
      <c r="E193" s="144"/>
      <c r="F193" s="144"/>
      <c r="G193" s="144"/>
      <c r="H193" s="739"/>
      <c r="I193" s="734"/>
      <c r="J193" s="28"/>
    </row>
    <row r="194" spans="1:10" ht="14.25" customHeight="1">
      <c r="A194" s="133"/>
      <c r="C194" s="135" t="s">
        <v>152</v>
      </c>
      <c r="D194" s="133"/>
      <c r="E194" s="133"/>
      <c r="F194" s="133"/>
      <c r="G194" s="133"/>
      <c r="H194" s="729"/>
      <c r="I194" s="732"/>
      <c r="J194" s="133"/>
    </row>
    <row r="195" spans="1:10" ht="15" customHeight="1">
      <c r="A195" s="133"/>
      <c r="C195" s="134"/>
      <c r="D195" s="133"/>
      <c r="E195" s="133"/>
      <c r="F195" s="133"/>
      <c r="G195" s="133"/>
      <c r="H195" s="730" t="str">
        <f>$K$1</f>
        <v>Рекорд края</v>
      </c>
      <c r="I195" s="732">
        <f>Рекорды!E51</f>
        <v>106.26</v>
      </c>
      <c r="J195" s="133"/>
    </row>
    <row r="196" spans="1:10" ht="15" customHeight="1">
      <c r="A196" s="73"/>
      <c r="C196" s="46"/>
      <c r="D196" s="28"/>
      <c r="E196" s="18"/>
      <c r="F196" s="47"/>
      <c r="G196" s="47"/>
      <c r="H196" s="730" t="str">
        <f>$K$1</f>
        <v>Рекорд края</v>
      </c>
      <c r="I196" s="733">
        <f>Рекорды!E5</f>
        <v>15.92</v>
      </c>
      <c r="J196" s="133"/>
    </row>
    <row r="197" spans="1:10" ht="15" customHeight="1">
      <c r="A197" s="133"/>
      <c r="C197" s="134"/>
      <c r="D197" s="133"/>
      <c r="E197" s="133"/>
      <c r="F197" s="133"/>
      <c r="G197" s="133"/>
      <c r="H197" s="730" t="str">
        <f t="shared" ref="H197:H198" si="119">$K$2</f>
        <v>Рекорд края 16-17 лет</v>
      </c>
      <c r="I197" s="732">
        <f>Рекорды!C51</f>
        <v>109.24</v>
      </c>
      <c r="J197" s="133"/>
    </row>
    <row r="198" spans="1:10" ht="15" customHeight="1">
      <c r="A198" s="73"/>
      <c r="C198" s="46"/>
      <c r="D198" s="28"/>
      <c r="E198" s="18"/>
      <c r="F198" s="47"/>
      <c r="G198" s="47"/>
      <c r="H198" s="730" t="str">
        <f t="shared" si="119"/>
        <v>Рекорд края 16-17 лет</v>
      </c>
      <c r="I198" s="733">
        <f>Рекорды!C5</f>
        <v>15.92</v>
      </c>
    </row>
    <row r="199" spans="1:10" ht="15" customHeight="1">
      <c r="A199" s="73"/>
      <c r="C199" s="46"/>
      <c r="D199" s="28"/>
      <c r="E199" s="18"/>
      <c r="F199" s="47"/>
      <c r="G199" s="47"/>
      <c r="H199" s="730" t="str">
        <f t="shared" ref="H199:H200" si="120">$K$3</f>
        <v>Рекорд края 14-15 лет</v>
      </c>
      <c r="I199" s="732">
        <f>Рекорды!E119</f>
        <v>112.19</v>
      </c>
    </row>
    <row r="200" spans="1:10" ht="15" customHeight="1">
      <c r="A200" s="73"/>
      <c r="C200" s="46"/>
      <c r="D200" s="28"/>
      <c r="E200" s="18"/>
      <c r="F200" s="47"/>
      <c r="G200" s="47"/>
      <c r="H200" s="730" t="str">
        <f t="shared" si="120"/>
        <v>Рекорд края 14-15 лет</v>
      </c>
      <c r="I200" s="733">
        <f>Рекорды!E73</f>
        <v>17.5</v>
      </c>
    </row>
    <row r="201" spans="1:10" ht="15" customHeight="1">
      <c r="A201" s="73"/>
      <c r="C201" s="46"/>
      <c r="D201" s="28"/>
      <c r="E201" s="18"/>
      <c r="F201" s="47"/>
      <c r="G201" s="47"/>
      <c r="H201" s="730" t="str">
        <f t="shared" ref="H201:H202" si="121">$K$4</f>
        <v>Рекорд края 13 лет и младше</v>
      </c>
      <c r="I201" s="733">
        <f>Рекорды!C119</f>
        <v>129.03</v>
      </c>
    </row>
    <row r="202" spans="1:10" ht="15" customHeight="1">
      <c r="A202" s="73"/>
      <c r="C202" s="46"/>
      <c r="D202" s="28"/>
      <c r="E202" s="18"/>
      <c r="F202" s="47"/>
      <c r="G202" s="47"/>
      <c r="H202" s="730" t="str">
        <f t="shared" si="121"/>
        <v>Рекорд края 13 лет и младше</v>
      </c>
      <c r="I202" s="733">
        <f>Рекорды!C73</f>
        <v>17.7</v>
      </c>
    </row>
    <row r="203" spans="1:10" ht="15" customHeight="1">
      <c r="A203" s="133"/>
      <c r="C203" s="134"/>
      <c r="D203" s="133"/>
      <c r="E203" s="133"/>
      <c r="F203" s="133"/>
      <c r="G203" s="133"/>
      <c r="H203" s="729"/>
      <c r="I203" s="732"/>
      <c r="J203" s="133"/>
    </row>
    <row r="204" spans="1:10" ht="14.25" customHeight="1">
      <c r="A204" s="133"/>
      <c r="C204" s="135" t="s">
        <v>153</v>
      </c>
      <c r="D204" s="133"/>
      <c r="E204" s="133"/>
      <c r="F204" s="133"/>
      <c r="G204" s="133"/>
      <c r="H204" s="729"/>
      <c r="I204" s="732"/>
      <c r="J204" s="133"/>
    </row>
    <row r="205" spans="1:10" ht="15" customHeight="1">
      <c r="A205" s="133"/>
      <c r="C205" s="134"/>
      <c r="D205" s="133"/>
      <c r="E205" s="133"/>
      <c r="F205" s="133"/>
      <c r="G205" s="133"/>
      <c r="H205" s="730" t="str">
        <f>$K$1</f>
        <v>Рекорд края</v>
      </c>
      <c r="I205" s="732">
        <f>Рекорды!D57</f>
        <v>237.96</v>
      </c>
    </row>
    <row r="206" spans="1:10" ht="15" customHeight="1">
      <c r="A206" s="73"/>
      <c r="C206" s="46"/>
      <c r="D206" s="28"/>
      <c r="E206" s="18"/>
      <c r="F206" s="47"/>
      <c r="G206" s="47"/>
      <c r="H206" s="730" t="str">
        <f>$K$1</f>
        <v>Рекорд края</v>
      </c>
      <c r="I206" s="733">
        <f>Рекорды!D8</f>
        <v>39.200000000000003</v>
      </c>
    </row>
    <row r="207" spans="1:10" ht="15" customHeight="1">
      <c r="A207" s="133"/>
      <c r="C207" s="134"/>
      <c r="D207" s="133"/>
      <c r="E207" s="133"/>
      <c r="F207" s="133"/>
      <c r="G207" s="133"/>
      <c r="H207" s="730" t="str">
        <f t="shared" ref="H207:H208" si="122">$K$2</f>
        <v>Рекорд края 16-17 лет</v>
      </c>
      <c r="I207" s="732">
        <f>Рекорды!B57</f>
        <v>249.04</v>
      </c>
    </row>
    <row r="208" spans="1:10" ht="15" customHeight="1">
      <c r="A208" s="73"/>
      <c r="C208" s="46"/>
      <c r="D208" s="28"/>
      <c r="E208" s="18"/>
      <c r="F208" s="47"/>
      <c r="G208" s="47"/>
      <c r="H208" s="730" t="str">
        <f t="shared" si="122"/>
        <v>Рекорд края 16-17 лет</v>
      </c>
      <c r="I208" s="733">
        <f>Рекорды!B8</f>
        <v>41.2</v>
      </c>
    </row>
    <row r="209" spans="1:10" ht="15" customHeight="1">
      <c r="A209" s="73"/>
      <c r="C209" s="46"/>
      <c r="D209" s="28"/>
      <c r="E209" s="18"/>
      <c r="F209" s="47"/>
      <c r="G209" s="47"/>
      <c r="H209" s="730" t="str">
        <f t="shared" ref="H209:H210" si="123">$K$3</f>
        <v>Рекорд края 14-15 лет</v>
      </c>
      <c r="I209" s="732">
        <f>Рекорды!D125</f>
        <v>259.7</v>
      </c>
    </row>
    <row r="210" spans="1:10" ht="15" customHeight="1">
      <c r="A210" s="73"/>
      <c r="C210" s="46"/>
      <c r="D210" s="28"/>
      <c r="E210" s="18"/>
      <c r="F210" s="47"/>
      <c r="G210" s="47"/>
      <c r="H210" s="730" t="str">
        <f t="shared" si="123"/>
        <v>Рекорд края 14-15 лет</v>
      </c>
      <c r="I210" s="733">
        <f>Рекорды!D76</f>
        <v>41.48</v>
      </c>
    </row>
    <row r="211" spans="1:10" ht="15" customHeight="1">
      <c r="A211" s="73"/>
      <c r="C211" s="46"/>
      <c r="D211" s="28"/>
      <c r="E211" s="18"/>
      <c r="F211" s="47"/>
      <c r="G211" s="47"/>
      <c r="H211" s="730" t="str">
        <f t="shared" ref="H211:H212" si="124">$K$4</f>
        <v>Рекорд края 13 лет и младше</v>
      </c>
      <c r="I211" s="733">
        <f>Рекорды!B125</f>
        <v>308.02999999999997</v>
      </c>
    </row>
    <row r="212" spans="1:10" ht="15" customHeight="1">
      <c r="A212" s="73"/>
      <c r="C212" s="46"/>
      <c r="D212" s="28"/>
      <c r="E212" s="18"/>
      <c r="F212" s="47"/>
      <c r="G212" s="47"/>
      <c r="H212" s="730" t="str">
        <f t="shared" si="124"/>
        <v>Рекорд края 13 лет и младше</v>
      </c>
      <c r="I212" s="733">
        <f>Рекорды!B76</f>
        <v>43.88</v>
      </c>
    </row>
    <row r="213" spans="1:10" ht="15" customHeight="1">
      <c r="A213" s="73"/>
      <c r="C213" s="46"/>
      <c r="D213" s="28"/>
      <c r="E213" s="18"/>
      <c r="F213" s="47"/>
      <c r="G213" s="47"/>
      <c r="H213" s="739"/>
      <c r="I213" s="733"/>
      <c r="J213" s="28"/>
    </row>
    <row r="214" spans="1:10" ht="14.25" customHeight="1">
      <c r="A214" s="133"/>
      <c r="C214" s="135" t="s">
        <v>154</v>
      </c>
      <c r="D214" s="133"/>
      <c r="E214" s="133"/>
      <c r="F214" s="133"/>
      <c r="G214" s="133"/>
      <c r="H214" s="738"/>
      <c r="I214" s="732"/>
      <c r="J214" s="133"/>
    </row>
    <row r="215" spans="1:10" ht="15" customHeight="1">
      <c r="A215" s="133"/>
      <c r="C215" s="134"/>
      <c r="D215" s="133"/>
      <c r="E215" s="133"/>
      <c r="F215" s="133"/>
      <c r="G215" s="133"/>
      <c r="H215" s="730" t="str">
        <f>$K$1</f>
        <v>Рекорд края</v>
      </c>
      <c r="I215" s="732">
        <f>Рекорды!E57</f>
        <v>221.4</v>
      </c>
      <c r="J215" s="133"/>
    </row>
    <row r="216" spans="1:10" ht="15" customHeight="1">
      <c r="A216" s="73"/>
      <c r="C216" s="46"/>
      <c r="D216" s="28"/>
      <c r="E216" s="18"/>
      <c r="F216" s="47"/>
      <c r="G216" s="47"/>
      <c r="H216" s="730" t="str">
        <f>$K$1</f>
        <v>Рекорд края</v>
      </c>
      <c r="I216" s="733">
        <f>Рекорды!E8</f>
        <v>35.56</v>
      </c>
      <c r="J216" s="133"/>
    </row>
    <row r="217" spans="1:10" ht="15" customHeight="1">
      <c r="A217" s="133"/>
      <c r="C217" s="134"/>
      <c r="D217" s="133"/>
      <c r="E217" s="133"/>
      <c r="F217" s="133"/>
      <c r="G217" s="133"/>
      <c r="H217" s="730" t="str">
        <f t="shared" ref="H217:H218" si="125">$K$2</f>
        <v>Рекорд края 16-17 лет</v>
      </c>
      <c r="I217" s="732">
        <f>Рекорды!C57</f>
        <v>232.02</v>
      </c>
      <c r="J217" s="133"/>
    </row>
    <row r="218" spans="1:10" ht="15" customHeight="1">
      <c r="A218" s="73"/>
      <c r="C218" s="46"/>
      <c r="D218" s="28"/>
      <c r="E218" s="18"/>
      <c r="F218" s="47"/>
      <c r="G218" s="47"/>
      <c r="H218" s="730" t="str">
        <f t="shared" si="125"/>
        <v>Рекорд края 16-17 лет</v>
      </c>
      <c r="I218" s="733">
        <f>Рекорды!C8</f>
        <v>36.24</v>
      </c>
    </row>
    <row r="219" spans="1:10" ht="15" customHeight="1">
      <c r="A219" s="73"/>
      <c r="C219" s="46"/>
      <c r="D219" s="28"/>
      <c r="E219" s="18"/>
      <c r="F219" s="47"/>
      <c r="G219" s="47"/>
      <c r="H219" s="730" t="str">
        <f t="shared" ref="H219:H220" si="126">$K$3</f>
        <v>Рекорд края 14-15 лет</v>
      </c>
      <c r="I219" s="732">
        <f>Рекорды!E125</f>
        <v>245.79</v>
      </c>
    </row>
    <row r="220" spans="1:10" ht="15" customHeight="1">
      <c r="A220" s="73"/>
      <c r="C220" s="46"/>
      <c r="D220" s="28"/>
      <c r="E220" s="18"/>
      <c r="F220" s="47"/>
      <c r="G220" s="47"/>
      <c r="H220" s="730" t="str">
        <f t="shared" si="126"/>
        <v>Рекорд края 14-15 лет</v>
      </c>
      <c r="I220" s="733">
        <f>Рекорды!E76</f>
        <v>37.69</v>
      </c>
    </row>
    <row r="221" spans="1:10" ht="15" customHeight="1">
      <c r="A221" s="73"/>
      <c r="C221" s="46"/>
      <c r="D221" s="28"/>
      <c r="E221" s="18"/>
      <c r="F221" s="47"/>
      <c r="G221" s="47"/>
      <c r="H221" s="730" t="str">
        <f t="shared" ref="H221:H222" si="127">$K$4</f>
        <v>Рекорд края 13 лет и младше</v>
      </c>
      <c r="I221" s="733">
        <f>Рекорды!C125</f>
        <v>315.31</v>
      </c>
    </row>
    <row r="222" spans="1:10" ht="15" customHeight="1">
      <c r="A222" s="73"/>
      <c r="C222" s="46"/>
      <c r="D222" s="28"/>
      <c r="E222" s="18"/>
      <c r="F222" s="47"/>
      <c r="G222" s="47"/>
      <c r="H222" s="730" t="str">
        <f t="shared" si="127"/>
        <v>Рекорд края 13 лет и младше</v>
      </c>
      <c r="I222" s="733">
        <f>Рекорды!C76</f>
        <v>40.549999999999997</v>
      </c>
    </row>
    <row r="223" spans="1:10" ht="15" customHeight="1">
      <c r="A223" s="133"/>
      <c r="C223" s="134"/>
      <c r="D223" s="133"/>
      <c r="E223" s="133"/>
      <c r="F223" s="133"/>
      <c r="G223" s="133"/>
      <c r="H223" s="730"/>
      <c r="I223" s="732"/>
      <c r="J223" s="133"/>
    </row>
    <row r="224" spans="1:10" ht="13.5" customHeight="1">
      <c r="A224" s="133"/>
      <c r="C224" s="135" t="s">
        <v>155</v>
      </c>
      <c r="D224" s="133"/>
      <c r="E224" s="133"/>
      <c r="F224" s="133"/>
      <c r="G224" s="133"/>
      <c r="H224" s="729"/>
      <c r="I224" s="732"/>
      <c r="J224" s="133"/>
    </row>
    <row r="225" spans="1:10" ht="15" customHeight="1">
      <c r="A225" s="133"/>
      <c r="C225" s="134"/>
      <c r="D225" s="133"/>
      <c r="E225" s="133"/>
      <c r="F225" s="133"/>
      <c r="G225" s="133"/>
      <c r="H225" s="730" t="str">
        <f>$K$1</f>
        <v>Рекорд края</v>
      </c>
      <c r="I225" s="732">
        <f>Рекорды!D63</f>
        <v>607.39</v>
      </c>
    </row>
    <row r="226" spans="1:10" ht="15" customHeight="1">
      <c r="A226" s="73"/>
      <c r="C226" s="46"/>
      <c r="D226" s="28"/>
      <c r="E226" s="18"/>
      <c r="F226" s="47"/>
      <c r="G226" s="47"/>
      <c r="H226" s="730" t="str">
        <f>$K$1</f>
        <v>Рекорд края</v>
      </c>
      <c r="I226" s="733">
        <f>Рекорды!D11</f>
        <v>128.51</v>
      </c>
    </row>
    <row r="227" spans="1:10" ht="15" customHeight="1">
      <c r="A227" s="133"/>
      <c r="C227" s="134"/>
      <c r="D227" s="133"/>
      <c r="E227" s="133"/>
      <c r="F227" s="133"/>
      <c r="G227" s="133"/>
      <c r="H227" s="730" t="str">
        <f t="shared" ref="H227:H228" si="128">$K$2</f>
        <v>Рекорд края 16-17 лет</v>
      </c>
      <c r="I227" s="732">
        <f>Рекорды!B63</f>
        <v>626.87</v>
      </c>
    </row>
    <row r="228" spans="1:10" ht="15" customHeight="1">
      <c r="A228" s="73"/>
      <c r="C228" s="46"/>
      <c r="D228" s="28"/>
      <c r="E228" s="18"/>
      <c r="F228" s="47"/>
      <c r="G228" s="47"/>
      <c r="H228" s="730" t="str">
        <f t="shared" si="128"/>
        <v>Рекорд края 16-17 лет</v>
      </c>
      <c r="I228" s="733">
        <f>Рекорды!B11</f>
        <v>132.52000000000001</v>
      </c>
    </row>
    <row r="229" spans="1:10" ht="15" customHeight="1">
      <c r="A229" s="73"/>
      <c r="C229" s="46"/>
      <c r="D229" s="28"/>
      <c r="E229" s="18"/>
      <c r="F229" s="47"/>
      <c r="G229" s="47"/>
      <c r="H229" s="730" t="str">
        <f t="shared" ref="H229:H230" si="129">$K$3</f>
        <v>Рекорд края 14-15 лет</v>
      </c>
      <c r="I229" s="732">
        <f>Рекорды!D131</f>
        <v>651.66</v>
      </c>
    </row>
    <row r="230" spans="1:10" ht="15" customHeight="1">
      <c r="A230" s="73"/>
      <c r="C230" s="46"/>
      <c r="D230" s="28"/>
      <c r="E230" s="18"/>
      <c r="F230" s="47"/>
      <c r="G230" s="47"/>
      <c r="H230" s="730" t="str">
        <f t="shared" si="129"/>
        <v>Рекорд края 14-15 лет</v>
      </c>
      <c r="I230" s="733">
        <f>Рекорды!D79</f>
        <v>137.02000000000001</v>
      </c>
    </row>
    <row r="231" spans="1:10" ht="15" customHeight="1">
      <c r="A231" s="73"/>
      <c r="C231" s="46"/>
      <c r="D231" s="28"/>
      <c r="E231" s="18"/>
      <c r="F231" s="47"/>
      <c r="G231" s="47"/>
      <c r="H231" s="730" t="str">
        <f t="shared" ref="H231:H232" si="130">$K$4</f>
        <v>Рекорд края 13 лет и младше</v>
      </c>
      <c r="I231" s="733">
        <f>Рекорды!B131</f>
        <v>709.13</v>
      </c>
    </row>
    <row r="232" spans="1:10" ht="15" customHeight="1">
      <c r="A232" s="73"/>
      <c r="C232" s="46"/>
      <c r="D232" s="28"/>
      <c r="E232" s="18"/>
      <c r="F232" s="47"/>
      <c r="G232" s="47"/>
      <c r="H232" s="730" t="str">
        <f t="shared" si="130"/>
        <v>Рекорд края 13 лет и младше</v>
      </c>
      <c r="I232" s="733">
        <f>Рекорды!B79</f>
        <v>139.87</v>
      </c>
    </row>
    <row r="233" spans="1:10" ht="15" customHeight="1">
      <c r="A233" s="133"/>
      <c r="C233" s="134"/>
      <c r="D233" s="133"/>
      <c r="E233" s="133"/>
      <c r="F233" s="133"/>
      <c r="G233" s="133"/>
      <c r="H233" s="730"/>
      <c r="I233" s="732"/>
      <c r="J233" s="133"/>
    </row>
    <row r="234" spans="1:10" ht="14.25" customHeight="1">
      <c r="A234" s="133"/>
      <c r="C234" s="135" t="s">
        <v>156</v>
      </c>
      <c r="D234" s="133"/>
      <c r="E234" s="133"/>
      <c r="F234" s="133"/>
      <c r="G234" s="133"/>
      <c r="H234" s="730"/>
      <c r="I234" s="732"/>
      <c r="J234" s="133"/>
    </row>
    <row r="235" spans="1:10" ht="15" customHeight="1">
      <c r="A235" s="133"/>
      <c r="C235" s="134"/>
      <c r="D235" s="133"/>
      <c r="E235" s="133"/>
      <c r="F235" s="133"/>
      <c r="G235" s="133"/>
      <c r="H235" s="730" t="str">
        <f>$K$1</f>
        <v>Рекорд края</v>
      </c>
      <c r="I235" s="732">
        <f>Рекорды!E63</f>
        <v>528.86</v>
      </c>
      <c r="J235" s="133"/>
    </row>
    <row r="236" spans="1:10" ht="15" customHeight="1">
      <c r="A236" s="73"/>
      <c r="C236" s="46"/>
      <c r="D236" s="28"/>
      <c r="E236" s="18"/>
      <c r="F236" s="47"/>
      <c r="G236" s="47"/>
      <c r="H236" s="730" t="str">
        <f>$K$1</f>
        <v>Рекорд края</v>
      </c>
      <c r="I236" s="733">
        <f>Рекорды!E11</f>
        <v>121.33</v>
      </c>
      <c r="J236" s="133"/>
    </row>
    <row r="237" spans="1:10" ht="15" customHeight="1">
      <c r="A237" s="133"/>
      <c r="C237" s="134"/>
      <c r="D237" s="133"/>
      <c r="E237" s="133"/>
      <c r="F237" s="133"/>
      <c r="G237" s="133"/>
      <c r="H237" s="730" t="str">
        <f t="shared" ref="H237:H238" si="131">$K$2</f>
        <v>Рекорд края 16-17 лет</v>
      </c>
      <c r="I237" s="732">
        <f>Рекорды!C63</f>
        <v>554.49</v>
      </c>
      <c r="J237" s="133"/>
    </row>
    <row r="238" spans="1:10" ht="15" customHeight="1">
      <c r="A238" s="73"/>
      <c r="C238" s="46"/>
      <c r="D238" s="28"/>
      <c r="E238" s="18"/>
      <c r="F238" s="47"/>
      <c r="G238" s="47"/>
      <c r="H238" s="730" t="str">
        <f t="shared" si="131"/>
        <v>Рекорд края 16-17 лет</v>
      </c>
      <c r="I238" s="733">
        <f>Рекорды!C11</f>
        <v>121.67</v>
      </c>
    </row>
    <row r="239" spans="1:10" ht="15" customHeight="1">
      <c r="A239" s="73"/>
      <c r="C239" s="46"/>
      <c r="D239" s="28"/>
      <c r="E239" s="18"/>
      <c r="F239" s="47"/>
      <c r="G239" s="47"/>
      <c r="H239" s="730" t="str">
        <f t="shared" ref="H239:H240" si="132">$K$3</f>
        <v>Рекорд края 14-15 лет</v>
      </c>
      <c r="I239" s="732">
        <f>Рекорды!E131</f>
        <v>630</v>
      </c>
    </row>
    <row r="240" spans="1:10" ht="15" customHeight="1">
      <c r="A240" s="73"/>
      <c r="C240" s="46"/>
      <c r="D240" s="28"/>
      <c r="E240" s="18"/>
      <c r="F240" s="47"/>
      <c r="G240" s="47"/>
      <c r="H240" s="730" t="str">
        <f t="shared" si="132"/>
        <v>Рекорд края 14-15 лет</v>
      </c>
      <c r="I240" s="733">
        <f>Рекорды!E79</f>
        <v>125.51</v>
      </c>
    </row>
    <row r="241" spans="1:11" ht="15" customHeight="1">
      <c r="A241" s="73"/>
      <c r="C241" s="46"/>
      <c r="D241" s="28"/>
      <c r="E241" s="18"/>
      <c r="F241" s="47"/>
      <c r="G241" s="47"/>
      <c r="H241" s="730" t="str">
        <f t="shared" ref="H241:H242" si="133">$K$4</f>
        <v>Рекорд края 13 лет и младше</v>
      </c>
      <c r="I241" s="733">
        <f>Рекорды!C131</f>
        <v>723.45</v>
      </c>
    </row>
    <row r="242" spans="1:11" ht="15" customHeight="1">
      <c r="A242" s="73"/>
      <c r="C242" s="46"/>
      <c r="D242" s="28"/>
      <c r="E242" s="18"/>
      <c r="F242" s="47"/>
      <c r="G242" s="47"/>
      <c r="H242" s="730" t="str">
        <f t="shared" si="133"/>
        <v>Рекорд края 13 лет и младше</v>
      </c>
      <c r="I242" s="733">
        <f>Рекорды!C79</f>
        <v>133.16999999999999</v>
      </c>
    </row>
    <row r="243" spans="1:11" ht="15" customHeight="1">
      <c r="A243" s="133"/>
      <c r="C243" s="134"/>
      <c r="D243" s="133"/>
      <c r="E243" s="133"/>
      <c r="F243" s="133"/>
      <c r="G243" s="133"/>
      <c r="H243" s="729"/>
      <c r="I243" s="732"/>
      <c r="J243" s="133"/>
    </row>
    <row r="244" spans="1:11" ht="15" customHeight="1">
      <c r="A244" s="133"/>
      <c r="C244" s="134"/>
      <c r="D244" s="133"/>
      <c r="E244" s="133"/>
      <c r="F244" s="133"/>
      <c r="G244" s="133"/>
      <c r="H244" s="729"/>
      <c r="I244" s="732"/>
      <c r="J244" s="133"/>
    </row>
    <row r="245" spans="1:11" ht="15" customHeight="1">
      <c r="A245" s="133"/>
      <c r="C245" s="134"/>
      <c r="D245" s="133"/>
      <c r="E245" s="133"/>
      <c r="F245" s="133"/>
      <c r="G245" s="133"/>
      <c r="H245" s="729"/>
      <c r="I245" s="732"/>
      <c r="J245" s="133"/>
    </row>
    <row r="246" spans="1:11" ht="15" customHeight="1">
      <c r="A246" s="133"/>
      <c r="C246" s="134"/>
      <c r="D246" s="133"/>
      <c r="E246" s="133"/>
      <c r="F246" s="133"/>
      <c r="G246" s="133"/>
      <c r="H246" s="729"/>
      <c r="I246" s="732"/>
      <c r="J246" s="133"/>
    </row>
    <row r="247" spans="1:11" ht="14.25" customHeight="1">
      <c r="A247" s="133"/>
      <c r="C247" s="148" t="s">
        <v>157</v>
      </c>
      <c r="D247" s="133"/>
      <c r="E247" s="133"/>
      <c r="F247" s="133"/>
      <c r="G247" s="133"/>
      <c r="H247" s="729"/>
      <c r="I247" s="732"/>
      <c r="J247" s="133"/>
    </row>
    <row r="248" spans="1:11" ht="15" customHeight="1">
      <c r="A248" s="73"/>
      <c r="C248" s="46"/>
      <c r="D248" s="28"/>
      <c r="E248" s="18"/>
      <c r="F248" s="47"/>
      <c r="G248" s="47"/>
      <c r="H248" s="730" t="s">
        <v>413</v>
      </c>
      <c r="I248" s="733"/>
      <c r="J248" s="133"/>
    </row>
    <row r="249" spans="1:11" ht="15" customHeight="1">
      <c r="A249" s="73"/>
      <c r="C249" s="46"/>
      <c r="D249" s="28"/>
      <c r="E249" s="18"/>
      <c r="F249" s="47"/>
      <c r="G249" s="47"/>
      <c r="H249" s="739"/>
      <c r="I249" s="736"/>
      <c r="J249" s="28"/>
      <c r="K249" s="513"/>
    </row>
    <row r="250" spans="1:11" ht="15" customHeight="1">
      <c r="A250" s="73"/>
      <c r="C250" s="46"/>
      <c r="D250" s="28"/>
      <c r="E250" s="18"/>
      <c r="F250" s="47"/>
      <c r="G250" s="47"/>
      <c r="H250" s="739"/>
      <c r="I250" s="736"/>
      <c r="J250" s="28"/>
      <c r="K250" s="513"/>
    </row>
    <row r="251" spans="1:11" ht="15" customHeight="1">
      <c r="A251" s="73"/>
      <c r="C251" s="46"/>
      <c r="D251" s="28"/>
      <c r="E251" s="18"/>
      <c r="F251" s="47"/>
      <c r="G251" s="47"/>
      <c r="H251" s="739"/>
      <c r="I251" s="736"/>
      <c r="J251" s="28"/>
      <c r="K251" s="513"/>
    </row>
    <row r="252" spans="1:11" ht="15" customHeight="1">
      <c r="A252" s="73"/>
      <c r="C252" s="46"/>
      <c r="D252" s="28"/>
      <c r="E252" s="18"/>
      <c r="F252" s="47"/>
      <c r="G252" s="47"/>
      <c r="H252" s="739"/>
      <c r="I252" s="736"/>
      <c r="J252" s="28"/>
      <c r="K252" s="513"/>
    </row>
    <row r="253" spans="1:11" ht="15" customHeight="1">
      <c r="A253" s="73"/>
      <c r="C253" s="46"/>
      <c r="D253" s="28"/>
      <c r="E253" s="18"/>
      <c r="F253" s="47"/>
      <c r="G253" s="47"/>
      <c r="H253" s="739"/>
      <c r="I253" s="736"/>
      <c r="J253" s="28"/>
      <c r="K253" s="513"/>
    </row>
    <row r="254" spans="1:11" ht="15" customHeight="1">
      <c r="A254" s="73"/>
      <c r="C254" s="46"/>
      <c r="D254" s="28"/>
      <c r="E254" s="18"/>
      <c r="F254" s="47"/>
      <c r="G254" s="47"/>
      <c r="H254" s="739"/>
      <c r="I254" s="736"/>
      <c r="J254" s="28"/>
      <c r="K254" s="513"/>
    </row>
    <row r="255" spans="1:11" ht="15" customHeight="1">
      <c r="A255" s="73"/>
      <c r="C255" s="46"/>
      <c r="D255" s="28"/>
      <c r="E255" s="18"/>
      <c r="F255" s="47"/>
      <c r="G255" s="47"/>
      <c r="H255" s="739"/>
      <c r="I255" s="736"/>
      <c r="J255" s="28"/>
      <c r="K255" s="513"/>
    </row>
    <row r="256" spans="1:11" ht="15" customHeight="1">
      <c r="A256" s="73"/>
      <c r="C256" s="46"/>
      <c r="D256" s="28"/>
      <c r="E256" s="18"/>
      <c r="F256" s="47"/>
      <c r="G256" s="47"/>
      <c r="H256" s="739"/>
      <c r="I256" s="736"/>
      <c r="J256" s="28"/>
      <c r="K256" s="513"/>
    </row>
    <row r="257" spans="1:11" ht="15" customHeight="1">
      <c r="A257" s="73"/>
      <c r="C257" s="46"/>
      <c r="D257" s="28"/>
      <c r="E257" s="18"/>
      <c r="F257" s="47"/>
      <c r="G257" s="47"/>
      <c r="H257" s="739"/>
      <c r="I257" s="736"/>
      <c r="J257" s="28"/>
      <c r="K257" s="513"/>
    </row>
    <row r="258" spans="1:11" ht="14.25" customHeight="1">
      <c r="A258" s="133"/>
      <c r="C258" s="148"/>
      <c r="D258" s="133"/>
      <c r="E258" s="133"/>
      <c r="F258" s="133"/>
      <c r="G258" s="133"/>
      <c r="H258" s="729"/>
      <c r="I258" s="732"/>
      <c r="J258" s="133"/>
    </row>
    <row r="259" spans="1:11" ht="14.25" customHeight="1">
      <c r="A259" s="133"/>
      <c r="C259" s="148" t="s">
        <v>372</v>
      </c>
      <c r="D259" s="133"/>
      <c r="E259" s="133"/>
      <c r="F259" s="133"/>
      <c r="G259" s="133"/>
      <c r="H259" s="729"/>
      <c r="I259" s="732"/>
      <c r="J259" s="133"/>
    </row>
    <row r="260" spans="1:11" ht="14.25" customHeight="1">
      <c r="A260" s="133"/>
      <c r="C260" s="148" t="s">
        <v>373</v>
      </c>
      <c r="D260" s="133"/>
      <c r="E260" s="133"/>
      <c r="F260" s="133"/>
      <c r="G260" s="133"/>
      <c r="H260" s="729"/>
      <c r="I260" s="732"/>
      <c r="J260" s="133"/>
    </row>
    <row r="262" spans="1:11" ht="14.25" customHeight="1">
      <c r="A262" s="133"/>
      <c r="C262" s="148" t="s">
        <v>411</v>
      </c>
      <c r="D262" s="133"/>
      <c r="E262" s="133"/>
      <c r="F262" s="133"/>
      <c r="G262" s="133"/>
      <c r="H262" s="729"/>
      <c r="I262" s="732"/>
      <c r="J262" s="133"/>
    </row>
    <row r="263" spans="1:11" ht="14.25" customHeight="1">
      <c r="A263" s="133"/>
      <c r="C263" s="148" t="s">
        <v>412</v>
      </c>
      <c r="D263" s="133"/>
      <c r="E263" s="133"/>
      <c r="F263" s="133"/>
      <c r="G263" s="133"/>
      <c r="H263" s="729"/>
      <c r="I263" s="732"/>
      <c r="J263" s="133"/>
    </row>
    <row r="265" spans="1:11">
      <c r="C265" s="148" t="s">
        <v>405</v>
      </c>
    </row>
    <row r="266" spans="1:11">
      <c r="C266" s="148" t="s">
        <v>397</v>
      </c>
    </row>
    <row r="267" spans="1:11">
      <c r="C267" s="148"/>
    </row>
    <row r="268" spans="1:11">
      <c r="C268" s="148" t="s">
        <v>404</v>
      </c>
    </row>
    <row r="269" spans="1:11">
      <c r="C269" s="148" t="s">
        <v>398</v>
      </c>
    </row>
    <row r="270" spans="1:11">
      <c r="C270" s="148"/>
    </row>
    <row r="271" spans="1:11">
      <c r="C271" s="148" t="s">
        <v>406</v>
      </c>
    </row>
    <row r="272" spans="1:11">
      <c r="C272" s="148" t="s">
        <v>400</v>
      </c>
    </row>
    <row r="273" spans="3:3">
      <c r="C273" s="148"/>
    </row>
    <row r="274" spans="3:3">
      <c r="C274" s="148" t="s">
        <v>407</v>
      </c>
    </row>
    <row r="275" spans="3:3">
      <c r="C275" s="148" t="s">
        <v>399</v>
      </c>
    </row>
    <row r="276" spans="3:3">
      <c r="C276" s="148"/>
    </row>
    <row r="277" spans="3:3">
      <c r="C277" s="148" t="s">
        <v>409</v>
      </c>
    </row>
    <row r="278" spans="3:3">
      <c r="C278" s="148" t="s">
        <v>402</v>
      </c>
    </row>
    <row r="279" spans="3:3">
      <c r="C279" s="148"/>
    </row>
    <row r="280" spans="3:3">
      <c r="C280" s="148" t="s">
        <v>408</v>
      </c>
    </row>
    <row r="281" spans="3:3">
      <c r="C281" s="148" t="s">
        <v>401</v>
      </c>
    </row>
    <row r="282" spans="3:3">
      <c r="C282" s="148"/>
    </row>
    <row r="283" spans="3:3">
      <c r="C283" s="148" t="s">
        <v>410</v>
      </c>
    </row>
    <row r="284" spans="3:3">
      <c r="C284" s="148" t="s">
        <v>403</v>
      </c>
    </row>
    <row r="285" spans="3:3">
      <c r="C285" s="148"/>
    </row>
    <row r="286" spans="3:3">
      <c r="C286" s="148" t="s">
        <v>385</v>
      </c>
    </row>
    <row r="287" spans="3:3">
      <c r="C287" s="148" t="s">
        <v>371</v>
      </c>
    </row>
    <row r="288" spans="3:3">
      <c r="C288" s="148"/>
    </row>
    <row r="289" spans="3:3">
      <c r="C289" s="148" t="s">
        <v>386</v>
      </c>
    </row>
    <row r="290" spans="3:3">
      <c r="C290" s="148" t="s">
        <v>374</v>
      </c>
    </row>
    <row r="291" spans="3:3">
      <c r="C291" s="148"/>
    </row>
    <row r="292" spans="3:3">
      <c r="C292" s="148" t="s">
        <v>387</v>
      </c>
    </row>
    <row r="293" spans="3:3">
      <c r="C293" s="148" t="s">
        <v>375</v>
      </c>
    </row>
    <row r="294" spans="3:3">
      <c r="C294" s="148"/>
    </row>
    <row r="295" spans="3:3">
      <c r="C295" s="148" t="s">
        <v>390</v>
      </c>
    </row>
    <row r="296" spans="3:3">
      <c r="C296" s="148" t="s">
        <v>378</v>
      </c>
    </row>
    <row r="297" spans="3:3">
      <c r="C297" s="148"/>
    </row>
    <row r="298" spans="3:3">
      <c r="C298" s="148" t="s">
        <v>388</v>
      </c>
    </row>
    <row r="299" spans="3:3">
      <c r="C299" s="148" t="s">
        <v>376</v>
      </c>
    </row>
    <row r="300" spans="3:3">
      <c r="C300" s="148"/>
    </row>
    <row r="301" spans="3:3">
      <c r="C301" s="148" t="s">
        <v>389</v>
      </c>
    </row>
    <row r="302" spans="3:3">
      <c r="C302" s="148" t="s">
        <v>377</v>
      </c>
    </row>
    <row r="303" spans="3:3">
      <c r="C303" s="148"/>
    </row>
    <row r="304" spans="3:3">
      <c r="C304" s="148" t="s">
        <v>391</v>
      </c>
    </row>
    <row r="305" spans="3:3">
      <c r="C305" s="148" t="s">
        <v>379</v>
      </c>
    </row>
    <row r="306" spans="3:3">
      <c r="C306" s="148"/>
    </row>
    <row r="307" spans="3:3">
      <c r="C307" s="148" t="s">
        <v>392</v>
      </c>
    </row>
    <row r="308" spans="3:3">
      <c r="C308" s="148" t="s">
        <v>380</v>
      </c>
    </row>
    <row r="309" spans="3:3">
      <c r="C309" s="148"/>
    </row>
    <row r="310" spans="3:3">
      <c r="C310" s="148" t="s">
        <v>393</v>
      </c>
    </row>
    <row r="311" spans="3:3">
      <c r="C311" s="148" t="s">
        <v>381</v>
      </c>
    </row>
    <row r="312" spans="3:3">
      <c r="C312" s="148"/>
    </row>
    <row r="313" spans="3:3">
      <c r="C313" s="148" t="s">
        <v>394</v>
      </c>
    </row>
    <row r="314" spans="3:3">
      <c r="C314" s="148" t="s">
        <v>382</v>
      </c>
    </row>
    <row r="315" spans="3:3">
      <c r="C315" s="148"/>
    </row>
    <row r="316" spans="3:3">
      <c r="C316" s="148" t="s">
        <v>395</v>
      </c>
    </row>
    <row r="317" spans="3:3">
      <c r="C317" s="148" t="s">
        <v>383</v>
      </c>
    </row>
    <row r="318" spans="3:3">
      <c r="C318" s="148"/>
    </row>
    <row r="319" spans="3:3">
      <c r="C319" s="148" t="s">
        <v>396</v>
      </c>
    </row>
    <row r="320" spans="3:3">
      <c r="C320" s="148" t="s">
        <v>384</v>
      </c>
    </row>
  </sheetData>
  <sortState xmlns:xlrd2="http://schemas.microsoft.com/office/spreadsheetml/2017/richdata2" ref="A420:K433">
    <sortCondition ref="C420:C433"/>
  </sortState>
  <pageMargins left="0.7" right="0.7" top="0.75" bottom="0.75" header="0.3" footer="0.3"/>
  <pageSetup paperSize="9" orientation="portrait" verticalDpi="3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Лист21"/>
  <dimension ref="A1:E136"/>
  <sheetViews>
    <sheetView topLeftCell="A28" workbookViewId="0">
      <selection activeCell="A2" sqref="A2:A3"/>
    </sheetView>
  </sheetViews>
  <sheetFormatPr defaultRowHeight="15"/>
  <cols>
    <col min="1" max="1" width="9.81640625" customWidth="1"/>
    <col min="2" max="2" width="22.05859375" customWidth="1"/>
    <col min="3" max="3" width="18.83203125" customWidth="1"/>
    <col min="4" max="4" width="22.05859375" customWidth="1"/>
    <col min="5" max="5" width="18.83203125" customWidth="1"/>
  </cols>
  <sheetData>
    <row r="1" spans="1:5" ht="16.5" customHeight="1" thickBot="1">
      <c r="A1" s="1841" t="s">
        <v>723</v>
      </c>
      <c r="B1" s="1841"/>
      <c r="C1" s="1841"/>
      <c r="D1" s="1841"/>
      <c r="E1" s="1841"/>
    </row>
    <row r="2" spans="1:5" ht="12" customHeight="1" thickBot="1">
      <c r="A2" s="1842" t="s">
        <v>158</v>
      </c>
      <c r="B2" s="1844" t="s">
        <v>159</v>
      </c>
      <c r="C2" s="1845"/>
      <c r="D2" s="1844" t="s">
        <v>160</v>
      </c>
      <c r="E2" s="1845"/>
    </row>
    <row r="3" spans="1:5" ht="12" customHeight="1" thickBot="1">
      <c r="A3" s="1843"/>
      <c r="B3" s="668" t="s">
        <v>161</v>
      </c>
      <c r="C3" s="668" t="s">
        <v>162</v>
      </c>
      <c r="D3" s="669" t="s">
        <v>163</v>
      </c>
      <c r="E3" s="668" t="s">
        <v>164</v>
      </c>
    </row>
    <row r="4" spans="1:5" ht="15.75" customHeight="1" thickBot="1">
      <c r="A4" s="1838" t="s">
        <v>85</v>
      </c>
      <c r="B4" s="1839"/>
      <c r="C4" s="1839"/>
      <c r="D4" s="1839"/>
      <c r="E4" s="1840"/>
    </row>
    <row r="5" spans="1:5" ht="12" customHeight="1">
      <c r="A5" s="1846" t="s">
        <v>165</v>
      </c>
      <c r="B5" s="652">
        <v>18.920000000000002</v>
      </c>
      <c r="C5" s="635">
        <v>15.92</v>
      </c>
      <c r="D5" s="654">
        <v>17.940000000000001</v>
      </c>
      <c r="E5" s="635">
        <v>15.92</v>
      </c>
    </row>
    <row r="6" spans="1:5" ht="12" customHeight="1">
      <c r="A6" s="1847"/>
      <c r="B6" s="670" t="s">
        <v>592</v>
      </c>
      <c r="C6" s="156" t="s">
        <v>561</v>
      </c>
      <c r="D6" s="633" t="s">
        <v>592</v>
      </c>
      <c r="E6" s="156" t="s">
        <v>561</v>
      </c>
    </row>
    <row r="7" spans="1:5" ht="12" customHeight="1" thickBot="1">
      <c r="A7" s="1848"/>
      <c r="B7" s="159" t="s">
        <v>636</v>
      </c>
      <c r="C7" s="150" t="s">
        <v>276</v>
      </c>
      <c r="D7" s="162" t="s">
        <v>638</v>
      </c>
      <c r="E7" s="150" t="s">
        <v>277</v>
      </c>
    </row>
    <row r="8" spans="1:5" ht="12" customHeight="1">
      <c r="A8" s="1846" t="s">
        <v>166</v>
      </c>
      <c r="B8" s="629">
        <v>41.2</v>
      </c>
      <c r="C8" s="639">
        <v>36.24</v>
      </c>
      <c r="D8" s="645">
        <v>39.200000000000003</v>
      </c>
      <c r="E8" s="639">
        <v>35.56</v>
      </c>
    </row>
    <row r="9" spans="1:5" ht="12" customHeight="1">
      <c r="A9" s="1847"/>
      <c r="B9" s="630" t="s">
        <v>554</v>
      </c>
      <c r="C9" s="155" t="s">
        <v>566</v>
      </c>
      <c r="D9" s="633" t="s">
        <v>559</v>
      </c>
      <c r="E9" s="155" t="s">
        <v>619</v>
      </c>
    </row>
    <row r="10" spans="1:5" ht="12" customHeight="1" thickBot="1">
      <c r="A10" s="1848"/>
      <c r="B10" s="631" t="s">
        <v>278</v>
      </c>
      <c r="C10" s="153" t="s">
        <v>645</v>
      </c>
      <c r="D10" s="162" t="s">
        <v>637</v>
      </c>
      <c r="E10" s="153" t="s">
        <v>637</v>
      </c>
    </row>
    <row r="11" spans="1:5" ht="12" customHeight="1">
      <c r="A11" s="1846" t="s">
        <v>167</v>
      </c>
      <c r="B11" s="632">
        <v>132.52000000000001</v>
      </c>
      <c r="C11" s="639">
        <v>121.67</v>
      </c>
      <c r="D11" s="645">
        <v>128.51</v>
      </c>
      <c r="E11" s="639">
        <v>121.33</v>
      </c>
    </row>
    <row r="12" spans="1:5" ht="12" customHeight="1">
      <c r="A12" s="1847"/>
      <c r="B12" s="633" t="s">
        <v>621</v>
      </c>
      <c r="C12" s="155" t="s">
        <v>635</v>
      </c>
      <c r="D12" s="633" t="s">
        <v>559</v>
      </c>
      <c r="E12" s="155" t="s">
        <v>635</v>
      </c>
    </row>
    <row r="13" spans="1:5" ht="12" customHeight="1" thickBot="1">
      <c r="A13" s="1848"/>
      <c r="B13" s="640" t="s">
        <v>279</v>
      </c>
      <c r="C13" s="162" t="s">
        <v>279</v>
      </c>
      <c r="D13" s="162" t="s">
        <v>638</v>
      </c>
      <c r="E13" s="162" t="s">
        <v>638</v>
      </c>
    </row>
    <row r="14" spans="1:5" ht="12" customHeight="1">
      <c r="A14" s="1846" t="s">
        <v>168</v>
      </c>
      <c r="B14" s="658">
        <v>323.08999999999997</v>
      </c>
      <c r="C14" s="638">
        <v>305.86</v>
      </c>
      <c r="D14" s="654">
        <v>318.52</v>
      </c>
      <c r="E14" s="638">
        <v>305.45</v>
      </c>
    </row>
    <row r="15" spans="1:5" ht="12" customHeight="1">
      <c r="A15" s="1847"/>
      <c r="B15" s="157" t="s">
        <v>621</v>
      </c>
      <c r="C15" s="155" t="s">
        <v>635</v>
      </c>
      <c r="D15" s="633" t="s">
        <v>633</v>
      </c>
      <c r="E15" s="155" t="s">
        <v>635</v>
      </c>
    </row>
    <row r="16" spans="1:5" ht="12" customHeight="1" thickBot="1">
      <c r="A16" s="1848"/>
      <c r="B16" s="158" t="s">
        <v>280</v>
      </c>
      <c r="C16" s="153" t="s">
        <v>646</v>
      </c>
      <c r="D16" s="634" t="s">
        <v>281</v>
      </c>
      <c r="E16" s="153" t="s">
        <v>639</v>
      </c>
    </row>
    <row r="17" spans="1:5" ht="12" customHeight="1">
      <c r="A17" s="1846" t="s">
        <v>169</v>
      </c>
      <c r="B17" s="658">
        <v>709.46</v>
      </c>
      <c r="C17" s="635">
        <v>644.39</v>
      </c>
      <c r="D17" s="654">
        <v>705.36</v>
      </c>
      <c r="E17" s="638">
        <v>639.77</v>
      </c>
    </row>
    <row r="18" spans="1:5" ht="12" customHeight="1">
      <c r="A18" s="1847"/>
      <c r="B18" s="157" t="s">
        <v>615</v>
      </c>
      <c r="C18" s="156" t="s">
        <v>625</v>
      </c>
      <c r="D18" s="633" t="s">
        <v>633</v>
      </c>
      <c r="E18" s="155" t="s">
        <v>632</v>
      </c>
    </row>
    <row r="19" spans="1:5" ht="12" customHeight="1" thickBot="1">
      <c r="A19" s="1848"/>
      <c r="B19" s="158" t="s">
        <v>282</v>
      </c>
      <c r="C19" s="150" t="s">
        <v>283</v>
      </c>
      <c r="D19" s="634" t="s">
        <v>284</v>
      </c>
      <c r="E19" s="153" t="s">
        <v>285</v>
      </c>
    </row>
    <row r="20" spans="1:5" ht="12" customHeight="1">
      <c r="A20" s="1846" t="s">
        <v>170</v>
      </c>
      <c r="B20" s="657">
        <v>1357.87</v>
      </c>
      <c r="C20" s="649">
        <v>1331.73</v>
      </c>
      <c r="D20" s="650">
        <v>1337.4</v>
      </c>
      <c r="E20" s="651">
        <v>1249.71</v>
      </c>
    </row>
    <row r="21" spans="1:5" ht="12" customHeight="1">
      <c r="A21" s="1847"/>
      <c r="B21" s="633" t="s">
        <v>634</v>
      </c>
      <c r="C21" s="156" t="s">
        <v>647</v>
      </c>
      <c r="D21" s="633" t="s">
        <v>633</v>
      </c>
      <c r="E21" s="155" t="s">
        <v>632</v>
      </c>
    </row>
    <row r="22" spans="1:5" ht="12" customHeight="1" thickBot="1">
      <c r="A22" s="1848"/>
      <c r="B22" s="634" t="s">
        <v>286</v>
      </c>
      <c r="C22" s="150" t="s">
        <v>648</v>
      </c>
      <c r="D22" s="634" t="s">
        <v>287</v>
      </c>
      <c r="E22" s="153" t="s">
        <v>288</v>
      </c>
    </row>
    <row r="23" spans="1:5" ht="15.75" customHeight="1" thickBot="1">
      <c r="A23" s="1838" t="s">
        <v>86</v>
      </c>
      <c r="B23" s="1839"/>
      <c r="C23" s="1839"/>
      <c r="D23" s="1839"/>
      <c r="E23" s="1840"/>
    </row>
    <row r="24" spans="1:5" ht="12" customHeight="1">
      <c r="A24" s="1846" t="s">
        <v>166</v>
      </c>
      <c r="B24" s="629">
        <v>38.78</v>
      </c>
      <c r="C24" s="635">
        <v>34.04</v>
      </c>
      <c r="D24" s="645">
        <v>36.68</v>
      </c>
      <c r="E24" s="638">
        <v>33.19</v>
      </c>
    </row>
    <row r="25" spans="1:5" ht="12" customHeight="1">
      <c r="A25" s="1847"/>
      <c r="B25" s="630" t="s">
        <v>592</v>
      </c>
      <c r="C25" s="156" t="s">
        <v>563</v>
      </c>
      <c r="D25" s="633" t="s">
        <v>592</v>
      </c>
      <c r="E25" s="155" t="s">
        <v>620</v>
      </c>
    </row>
    <row r="26" spans="1:5" ht="12" customHeight="1" thickBot="1">
      <c r="A26" s="1848"/>
      <c r="B26" s="659" t="s">
        <v>631</v>
      </c>
      <c r="C26" s="660" t="s">
        <v>289</v>
      </c>
      <c r="D26" s="162" t="s">
        <v>638</v>
      </c>
      <c r="E26" s="153" t="s">
        <v>638</v>
      </c>
    </row>
    <row r="27" spans="1:5" ht="12" customHeight="1">
      <c r="A27" s="1846" t="s">
        <v>168</v>
      </c>
      <c r="B27" s="658">
        <v>313.58</v>
      </c>
      <c r="C27" s="638">
        <v>254.92</v>
      </c>
      <c r="D27" s="654">
        <v>302.88</v>
      </c>
      <c r="E27" s="638">
        <v>247.22</v>
      </c>
    </row>
    <row r="28" spans="1:5" ht="12" customHeight="1">
      <c r="A28" s="1847"/>
      <c r="B28" s="157" t="s">
        <v>554</v>
      </c>
      <c r="C28" s="155" t="s">
        <v>600</v>
      </c>
      <c r="D28" s="633" t="s">
        <v>554</v>
      </c>
      <c r="E28" s="155" t="s">
        <v>620</v>
      </c>
    </row>
    <row r="29" spans="1:5" ht="12" customHeight="1" thickBot="1">
      <c r="A29" s="1848"/>
      <c r="B29" s="662" t="s">
        <v>290</v>
      </c>
      <c r="C29" s="661" t="s">
        <v>291</v>
      </c>
      <c r="D29" s="637" t="s">
        <v>292</v>
      </c>
      <c r="E29" s="153" t="s">
        <v>640</v>
      </c>
    </row>
    <row r="30" spans="1:5" ht="12" customHeight="1">
      <c r="A30" s="1846" t="s">
        <v>169</v>
      </c>
      <c r="B30" s="648">
        <v>649.94000000000005</v>
      </c>
      <c r="C30" s="651">
        <v>617.28</v>
      </c>
      <c r="D30" s="650">
        <v>631.66999999999996</v>
      </c>
      <c r="E30" s="651">
        <v>601.66</v>
      </c>
    </row>
    <row r="31" spans="1:5" ht="12" customHeight="1">
      <c r="A31" s="1847"/>
      <c r="B31" s="630" t="s">
        <v>554</v>
      </c>
      <c r="C31" s="155" t="s">
        <v>563</v>
      </c>
      <c r="D31" s="633" t="s">
        <v>552</v>
      </c>
      <c r="E31" s="155" t="s">
        <v>563</v>
      </c>
    </row>
    <row r="32" spans="1:5" ht="12" customHeight="1" thickBot="1">
      <c r="A32" s="1848"/>
      <c r="B32" s="631" t="s">
        <v>293</v>
      </c>
      <c r="C32" s="153" t="s">
        <v>294</v>
      </c>
      <c r="D32" s="634" t="s">
        <v>295</v>
      </c>
      <c r="E32" s="153" t="s">
        <v>296</v>
      </c>
    </row>
    <row r="33" spans="1:5" ht="15.75" customHeight="1" thickBot="1">
      <c r="A33" s="1838" t="s">
        <v>84</v>
      </c>
      <c r="B33" s="1839"/>
      <c r="C33" s="1839"/>
      <c r="D33" s="1839"/>
      <c r="E33" s="1840"/>
    </row>
    <row r="34" spans="1:5" ht="12" customHeight="1">
      <c r="A34" s="1846" t="s">
        <v>171</v>
      </c>
      <c r="B34" s="629">
        <v>8.36</v>
      </c>
      <c r="C34" s="635">
        <v>7.31</v>
      </c>
      <c r="D34" s="635">
        <v>8.1</v>
      </c>
      <c r="E34" s="635">
        <v>7.14</v>
      </c>
    </row>
    <row r="35" spans="1:5" ht="12" customHeight="1">
      <c r="A35" s="1847"/>
      <c r="B35" s="630" t="s">
        <v>556</v>
      </c>
      <c r="C35" s="156" t="s">
        <v>624</v>
      </c>
      <c r="D35" s="156" t="s">
        <v>552</v>
      </c>
      <c r="E35" s="156" t="s">
        <v>619</v>
      </c>
    </row>
    <row r="36" spans="1:5" ht="12" customHeight="1" thickBot="1">
      <c r="A36" s="1848"/>
      <c r="B36" s="150" t="s">
        <v>651</v>
      </c>
      <c r="C36" s="150" t="s">
        <v>594</v>
      </c>
      <c r="D36" s="150" t="s">
        <v>651</v>
      </c>
      <c r="E36" s="150" t="s">
        <v>641</v>
      </c>
    </row>
    <row r="37" spans="1:5" ht="12" customHeight="1">
      <c r="A37" s="1846" t="s">
        <v>165</v>
      </c>
      <c r="B37" s="632">
        <v>17.52</v>
      </c>
      <c r="C37" s="639">
        <v>15.36</v>
      </c>
      <c r="D37" s="639">
        <v>16.55</v>
      </c>
      <c r="E37" s="636">
        <v>14.92</v>
      </c>
    </row>
    <row r="38" spans="1:5" ht="12" customHeight="1">
      <c r="A38" s="1847"/>
      <c r="B38" s="633" t="s">
        <v>567</v>
      </c>
      <c r="C38" s="155" t="s">
        <v>624</v>
      </c>
      <c r="D38" s="155" t="s">
        <v>592</v>
      </c>
      <c r="E38" s="156" t="s">
        <v>625</v>
      </c>
    </row>
    <row r="39" spans="1:5" ht="12" customHeight="1" thickBot="1">
      <c r="A39" s="1848"/>
      <c r="B39" s="634" t="s">
        <v>653</v>
      </c>
      <c r="C39" s="153" t="s">
        <v>297</v>
      </c>
      <c r="D39" s="153" t="s">
        <v>639</v>
      </c>
      <c r="E39" s="150" t="s">
        <v>630</v>
      </c>
    </row>
    <row r="40" spans="1:5" ht="15.75" customHeight="1" thickBot="1">
      <c r="A40" s="1838" t="s">
        <v>172</v>
      </c>
      <c r="B40" s="1839"/>
      <c r="C40" s="1839"/>
      <c r="D40" s="1839"/>
      <c r="E40" s="1840"/>
    </row>
    <row r="41" spans="1:5" ht="12" customHeight="1">
      <c r="A41" s="1846" t="s">
        <v>165</v>
      </c>
      <c r="B41" s="632">
        <v>21.92</v>
      </c>
      <c r="C41" s="638">
        <v>20.02</v>
      </c>
      <c r="D41" s="638">
        <v>21.46</v>
      </c>
      <c r="E41" s="638">
        <v>18.77</v>
      </c>
    </row>
    <row r="42" spans="1:5" ht="12" customHeight="1">
      <c r="A42" s="1847"/>
      <c r="B42" s="633" t="s">
        <v>654</v>
      </c>
      <c r="C42" s="155" t="s">
        <v>624</v>
      </c>
      <c r="D42" s="155" t="s">
        <v>555</v>
      </c>
      <c r="E42" s="155" t="s">
        <v>629</v>
      </c>
    </row>
    <row r="43" spans="1:5" ht="12" customHeight="1" thickBot="1">
      <c r="A43" s="1848"/>
      <c r="B43" s="634" t="s">
        <v>655</v>
      </c>
      <c r="C43" s="153" t="s">
        <v>649</v>
      </c>
      <c r="D43" s="162" t="s">
        <v>638</v>
      </c>
      <c r="E43" s="153" t="s">
        <v>298</v>
      </c>
    </row>
    <row r="44" spans="1:5" ht="12" customHeight="1">
      <c r="A44" s="1846" t="s">
        <v>166</v>
      </c>
      <c r="B44" s="632">
        <v>47.91</v>
      </c>
      <c r="C44" s="639">
        <v>43.77</v>
      </c>
      <c r="D44" s="639">
        <v>47.58</v>
      </c>
      <c r="E44" s="639">
        <v>42.7</v>
      </c>
    </row>
    <row r="45" spans="1:5" ht="12" customHeight="1">
      <c r="A45" s="1847"/>
      <c r="B45" s="633" t="s">
        <v>654</v>
      </c>
      <c r="C45" s="155" t="s">
        <v>579</v>
      </c>
      <c r="D45" s="155" t="s">
        <v>555</v>
      </c>
      <c r="E45" s="155" t="s">
        <v>628</v>
      </c>
    </row>
    <row r="46" spans="1:5" ht="12" customHeight="1" thickBot="1">
      <c r="A46" s="1848"/>
      <c r="B46" s="634" t="s">
        <v>656</v>
      </c>
      <c r="C46" s="153" t="s">
        <v>299</v>
      </c>
      <c r="D46" s="162" t="s">
        <v>637</v>
      </c>
      <c r="E46" s="153" t="s">
        <v>300</v>
      </c>
    </row>
    <row r="47" spans="1:5" ht="12" customHeight="1">
      <c r="A47" s="1846" t="s">
        <v>167</v>
      </c>
      <c r="B47" s="632">
        <v>149.49</v>
      </c>
      <c r="C47" s="639">
        <v>138.86000000000001</v>
      </c>
      <c r="D47" s="639">
        <v>146.62</v>
      </c>
      <c r="E47" s="639">
        <v>136.33000000000001</v>
      </c>
    </row>
    <row r="48" spans="1:5" ht="12" customHeight="1">
      <c r="A48" s="1847"/>
      <c r="B48" s="633" t="s">
        <v>654</v>
      </c>
      <c r="C48" s="155" t="s">
        <v>627</v>
      </c>
      <c r="D48" s="155" t="s">
        <v>580</v>
      </c>
      <c r="E48" s="155" t="s">
        <v>626</v>
      </c>
    </row>
    <row r="49" spans="1:5" ht="12" customHeight="1" thickBot="1">
      <c r="A49" s="1848"/>
      <c r="B49" s="634" t="s">
        <v>657</v>
      </c>
      <c r="C49" s="153" t="s">
        <v>301</v>
      </c>
      <c r="D49" s="162" t="s">
        <v>638</v>
      </c>
      <c r="E49" s="153" t="s">
        <v>302</v>
      </c>
    </row>
    <row r="50" spans="1:5" ht="15.75" customHeight="1" thickBot="1">
      <c r="A50" s="1838" t="s">
        <v>173</v>
      </c>
      <c r="B50" s="1839"/>
      <c r="C50" s="1839"/>
      <c r="D50" s="1839"/>
      <c r="E50" s="1840"/>
    </row>
    <row r="51" spans="1:5" ht="10.5" customHeight="1">
      <c r="A51" s="1846" t="s">
        <v>174</v>
      </c>
      <c r="B51" s="635">
        <v>120.15</v>
      </c>
      <c r="C51" s="635">
        <v>109.24</v>
      </c>
      <c r="D51" s="644">
        <v>113.61</v>
      </c>
      <c r="E51" s="635">
        <v>106.26</v>
      </c>
    </row>
    <row r="52" spans="1:5" ht="10.5" customHeight="1">
      <c r="A52" s="1847"/>
      <c r="B52" s="149" t="s">
        <v>577</v>
      </c>
      <c r="C52" s="149" t="s">
        <v>561</v>
      </c>
      <c r="D52" s="642" t="s">
        <v>552</v>
      </c>
      <c r="E52" s="655" t="s">
        <v>619</v>
      </c>
    </row>
    <row r="53" spans="1:5" ht="10.5" customHeight="1">
      <c r="A53" s="1847"/>
      <c r="B53" s="149" t="s">
        <v>576</v>
      </c>
      <c r="C53" s="149" t="s">
        <v>600</v>
      </c>
      <c r="D53" s="642" t="s">
        <v>556</v>
      </c>
      <c r="E53" s="656" t="s">
        <v>578</v>
      </c>
    </row>
    <row r="54" spans="1:5" ht="10.5" customHeight="1">
      <c r="A54" s="1847"/>
      <c r="B54" s="149" t="s">
        <v>557</v>
      </c>
      <c r="C54" s="149" t="s">
        <v>566</v>
      </c>
      <c r="D54" s="642" t="s">
        <v>557</v>
      </c>
      <c r="E54" s="655" t="s">
        <v>620</v>
      </c>
    </row>
    <row r="55" spans="1:5" ht="10.5" customHeight="1">
      <c r="A55" s="1847"/>
      <c r="B55" s="149" t="s">
        <v>558</v>
      </c>
      <c r="C55" s="149" t="s">
        <v>624</v>
      </c>
      <c r="D55" s="642" t="s">
        <v>555</v>
      </c>
      <c r="E55" s="655" t="s">
        <v>642</v>
      </c>
    </row>
    <row r="56" spans="1:5" ht="10.5" customHeight="1" thickBot="1">
      <c r="A56" s="1848"/>
      <c r="B56" s="150" t="s">
        <v>658</v>
      </c>
      <c r="C56" s="150" t="s">
        <v>623</v>
      </c>
      <c r="D56" s="631" t="s">
        <v>652</v>
      </c>
      <c r="E56" s="641" t="s">
        <v>643</v>
      </c>
    </row>
    <row r="57" spans="1:5" ht="10.5" customHeight="1">
      <c r="A57" s="1846" t="s">
        <v>175</v>
      </c>
      <c r="B57" s="639">
        <v>249.04</v>
      </c>
      <c r="C57" s="639">
        <v>232.02</v>
      </c>
      <c r="D57" s="645">
        <v>237.96</v>
      </c>
      <c r="E57" s="639">
        <v>221.4</v>
      </c>
    </row>
    <row r="58" spans="1:5" ht="10.5" customHeight="1">
      <c r="A58" s="1847"/>
      <c r="B58" s="152" t="s">
        <v>558</v>
      </c>
      <c r="C58" s="151" t="s">
        <v>566</v>
      </c>
      <c r="D58" s="643" t="s">
        <v>559</v>
      </c>
      <c r="E58" s="152" t="s">
        <v>600</v>
      </c>
    </row>
    <row r="59" spans="1:5" ht="10.5" customHeight="1">
      <c r="A59" s="1847"/>
      <c r="B59" s="152" t="s">
        <v>556</v>
      </c>
      <c r="C59" s="152" t="s">
        <v>622</v>
      </c>
      <c r="D59" s="643" t="s">
        <v>607</v>
      </c>
      <c r="E59" s="152" t="s">
        <v>620</v>
      </c>
    </row>
    <row r="60" spans="1:5" ht="10.5" customHeight="1">
      <c r="A60" s="1847"/>
      <c r="B60" s="152" t="s">
        <v>567</v>
      </c>
      <c r="C60" s="152" t="s">
        <v>570</v>
      </c>
      <c r="D60" s="643" t="s">
        <v>592</v>
      </c>
      <c r="E60" s="152" t="s">
        <v>566</v>
      </c>
    </row>
    <row r="61" spans="1:5" ht="10.5" customHeight="1">
      <c r="A61" s="1847"/>
      <c r="B61" s="152" t="s">
        <v>577</v>
      </c>
      <c r="C61" s="152" t="s">
        <v>600</v>
      </c>
      <c r="D61" s="643" t="s">
        <v>552</v>
      </c>
      <c r="E61" s="152" t="s">
        <v>644</v>
      </c>
    </row>
    <row r="62" spans="1:5" ht="10.5" customHeight="1" thickBot="1">
      <c r="A62" s="1848"/>
      <c r="B62" s="162" t="s">
        <v>659</v>
      </c>
      <c r="C62" s="162" t="s">
        <v>279</v>
      </c>
      <c r="D62" s="162" t="s">
        <v>639</v>
      </c>
      <c r="E62" s="162" t="s">
        <v>639</v>
      </c>
    </row>
    <row r="63" spans="1:5" ht="10.5" customHeight="1">
      <c r="A63" s="1846" t="s">
        <v>176</v>
      </c>
      <c r="B63" s="638">
        <v>626.87</v>
      </c>
      <c r="C63" s="638">
        <v>554.49</v>
      </c>
      <c r="D63" s="654">
        <v>607.39</v>
      </c>
      <c r="E63" s="638">
        <v>528.86</v>
      </c>
    </row>
    <row r="64" spans="1:5" ht="10.5" customHeight="1">
      <c r="A64" s="1847"/>
      <c r="B64" s="152" t="s">
        <v>556</v>
      </c>
      <c r="C64" s="151" t="s">
        <v>566</v>
      </c>
      <c r="D64" s="643" t="s">
        <v>559</v>
      </c>
      <c r="E64" s="152" t="s">
        <v>566</v>
      </c>
    </row>
    <row r="65" spans="1:5" ht="10.5" customHeight="1">
      <c r="A65" s="1847"/>
      <c r="B65" s="152" t="s">
        <v>557</v>
      </c>
      <c r="C65" s="152" t="s">
        <v>571</v>
      </c>
      <c r="D65" s="643" t="s">
        <v>552</v>
      </c>
      <c r="E65" s="152" t="s">
        <v>600</v>
      </c>
    </row>
    <row r="66" spans="1:5" ht="10.5" customHeight="1">
      <c r="A66" s="1847"/>
      <c r="B66" s="152" t="s">
        <v>558</v>
      </c>
      <c r="C66" s="152" t="s">
        <v>591</v>
      </c>
      <c r="D66" s="643" t="s">
        <v>607</v>
      </c>
      <c r="E66" s="152" t="s">
        <v>620</v>
      </c>
    </row>
    <row r="67" spans="1:5" ht="10.5" customHeight="1">
      <c r="A67" s="1847"/>
      <c r="B67" s="152" t="s">
        <v>577</v>
      </c>
      <c r="C67" s="152" t="s">
        <v>600</v>
      </c>
      <c r="D67" s="643" t="s">
        <v>554</v>
      </c>
      <c r="E67" s="152" t="s">
        <v>619</v>
      </c>
    </row>
    <row r="68" spans="1:5" ht="10.5" customHeight="1" thickBot="1">
      <c r="A68" s="1848"/>
      <c r="B68" s="153" t="s">
        <v>660</v>
      </c>
      <c r="C68" s="153" t="s">
        <v>303</v>
      </c>
      <c r="D68" s="153" t="s">
        <v>640</v>
      </c>
      <c r="E68" s="153" t="s">
        <v>640</v>
      </c>
    </row>
    <row r="69" spans="1:5" ht="16.5" customHeight="1" thickBot="1">
      <c r="A69" s="1841" t="s">
        <v>618</v>
      </c>
      <c r="B69" s="1841"/>
      <c r="C69" s="1841"/>
      <c r="D69" s="1841"/>
      <c r="E69" s="1841"/>
    </row>
    <row r="70" spans="1:5" ht="12" customHeight="1" thickBot="1">
      <c r="A70" s="1842" t="s">
        <v>158</v>
      </c>
      <c r="B70" s="1849" t="s">
        <v>177</v>
      </c>
      <c r="C70" s="1850"/>
      <c r="D70" s="1849" t="s">
        <v>178</v>
      </c>
      <c r="E70" s="1850"/>
    </row>
    <row r="71" spans="1:5" ht="12" customHeight="1" thickBot="1">
      <c r="A71" s="1843"/>
      <c r="B71" s="154" t="s">
        <v>179</v>
      </c>
      <c r="C71" s="666" t="s">
        <v>180</v>
      </c>
      <c r="D71" s="666" t="s">
        <v>161</v>
      </c>
      <c r="E71" s="667" t="s">
        <v>162</v>
      </c>
    </row>
    <row r="72" spans="1:5" ht="15.75" customHeight="1" thickBot="1">
      <c r="A72" s="1838" t="s">
        <v>85</v>
      </c>
      <c r="B72" s="1839"/>
      <c r="C72" s="1839"/>
      <c r="D72" s="1839"/>
      <c r="E72" s="1840"/>
    </row>
    <row r="73" spans="1:5" ht="12" customHeight="1">
      <c r="A73" s="1846" t="s">
        <v>165</v>
      </c>
      <c r="B73" s="632">
        <v>19.850000000000001</v>
      </c>
      <c r="C73" s="635">
        <v>17.7</v>
      </c>
      <c r="D73" s="645">
        <v>19.11</v>
      </c>
      <c r="E73" s="638">
        <v>17.5</v>
      </c>
    </row>
    <row r="74" spans="1:5" ht="12" customHeight="1">
      <c r="A74" s="1847"/>
      <c r="B74" s="633" t="s">
        <v>558</v>
      </c>
      <c r="C74" s="156" t="s">
        <v>590</v>
      </c>
      <c r="D74" s="633" t="s">
        <v>558</v>
      </c>
      <c r="E74" s="155" t="s">
        <v>591</v>
      </c>
    </row>
    <row r="75" spans="1:5" ht="12" customHeight="1" thickBot="1">
      <c r="A75" s="1848"/>
      <c r="B75" s="634" t="s">
        <v>304</v>
      </c>
      <c r="C75" s="647" t="s">
        <v>305</v>
      </c>
      <c r="D75" s="153" t="s">
        <v>661</v>
      </c>
      <c r="E75" s="153" t="s">
        <v>306</v>
      </c>
    </row>
    <row r="76" spans="1:5" ht="12" customHeight="1">
      <c r="A76" s="1846" t="s">
        <v>166</v>
      </c>
      <c r="B76" s="632">
        <v>43.88</v>
      </c>
      <c r="C76" s="636">
        <v>40.549999999999997</v>
      </c>
      <c r="D76" s="645">
        <v>41.48</v>
      </c>
      <c r="E76" s="636">
        <v>37.69</v>
      </c>
    </row>
    <row r="77" spans="1:5" ht="12" customHeight="1">
      <c r="A77" s="1847"/>
      <c r="B77" s="633" t="s">
        <v>558</v>
      </c>
      <c r="C77" s="156" t="s">
        <v>590</v>
      </c>
      <c r="D77" s="633" t="s">
        <v>558</v>
      </c>
      <c r="E77" s="156" t="s">
        <v>566</v>
      </c>
    </row>
    <row r="78" spans="1:5" ht="12" customHeight="1" thickBot="1">
      <c r="A78" s="1848"/>
      <c r="B78" s="634" t="s">
        <v>307</v>
      </c>
      <c r="C78" s="150" t="s">
        <v>308</v>
      </c>
      <c r="D78" s="153" t="s">
        <v>662</v>
      </c>
      <c r="E78" s="150" t="s">
        <v>617</v>
      </c>
    </row>
    <row r="79" spans="1:5" ht="12" customHeight="1">
      <c r="A79" s="1846" t="s">
        <v>167</v>
      </c>
      <c r="B79" s="632">
        <v>139.87</v>
      </c>
      <c r="C79" s="636">
        <v>133.16999999999999</v>
      </c>
      <c r="D79" s="644">
        <v>137.02000000000001</v>
      </c>
      <c r="E79" s="639">
        <v>125.51</v>
      </c>
    </row>
    <row r="80" spans="1:5" ht="12" customHeight="1">
      <c r="A80" s="1847"/>
      <c r="B80" s="633" t="s">
        <v>559</v>
      </c>
      <c r="C80" s="156" t="s">
        <v>566</v>
      </c>
      <c r="D80" s="630" t="s">
        <v>559</v>
      </c>
      <c r="E80" s="155" t="s">
        <v>566</v>
      </c>
    </row>
    <row r="81" spans="1:5" ht="12" customHeight="1" thickBot="1">
      <c r="A81" s="1848"/>
      <c r="B81" s="634" t="s">
        <v>309</v>
      </c>
      <c r="C81" s="150" t="s">
        <v>310</v>
      </c>
      <c r="D81" s="631" t="s">
        <v>616</v>
      </c>
      <c r="E81" s="153" t="s">
        <v>311</v>
      </c>
    </row>
    <row r="82" spans="1:5" ht="12" customHeight="1">
      <c r="A82" s="1846" t="s">
        <v>168</v>
      </c>
      <c r="B82" s="632">
        <v>339.29</v>
      </c>
      <c r="C82" s="636">
        <v>327.27</v>
      </c>
      <c r="D82" s="644">
        <v>331.09</v>
      </c>
      <c r="E82" s="639">
        <v>310.17</v>
      </c>
    </row>
    <row r="83" spans="1:5" ht="12" customHeight="1">
      <c r="A83" s="1847"/>
      <c r="B83" s="633" t="s">
        <v>559</v>
      </c>
      <c r="C83" s="156" t="s">
        <v>566</v>
      </c>
      <c r="D83" s="630" t="s">
        <v>615</v>
      </c>
      <c r="E83" s="155" t="s">
        <v>563</v>
      </c>
    </row>
    <row r="84" spans="1:5" ht="12" customHeight="1" thickBot="1">
      <c r="A84" s="1848"/>
      <c r="B84" s="634" t="s">
        <v>614</v>
      </c>
      <c r="C84" s="150" t="s">
        <v>613</v>
      </c>
      <c r="D84" s="646" t="s">
        <v>612</v>
      </c>
      <c r="E84" s="153" t="s">
        <v>611</v>
      </c>
    </row>
    <row r="85" spans="1:5" ht="12" customHeight="1">
      <c r="A85" s="1846" t="s">
        <v>169</v>
      </c>
      <c r="B85" s="629">
        <v>746.47</v>
      </c>
      <c r="C85" s="636">
        <v>723.47</v>
      </c>
      <c r="D85" s="645">
        <v>715.49</v>
      </c>
      <c r="E85" s="636">
        <v>649.41999999999996</v>
      </c>
    </row>
    <row r="86" spans="1:5" ht="12" customHeight="1">
      <c r="A86" s="1847"/>
      <c r="B86" s="630" t="s">
        <v>607</v>
      </c>
      <c r="C86" s="156" t="s">
        <v>563</v>
      </c>
      <c r="D86" s="633" t="s">
        <v>607</v>
      </c>
      <c r="E86" s="156" t="s">
        <v>563</v>
      </c>
    </row>
    <row r="87" spans="1:5" ht="12" customHeight="1" thickBot="1">
      <c r="A87" s="1848"/>
      <c r="B87" s="631" t="s">
        <v>610</v>
      </c>
      <c r="C87" s="150" t="s">
        <v>609</v>
      </c>
      <c r="D87" s="634" t="s">
        <v>312</v>
      </c>
      <c r="E87" s="150" t="s">
        <v>608</v>
      </c>
    </row>
    <row r="88" spans="1:5" ht="12" customHeight="1">
      <c r="A88" s="1846" t="s">
        <v>170</v>
      </c>
      <c r="B88" s="629">
        <v>1506.32</v>
      </c>
      <c r="C88" s="636">
        <v>1433.92</v>
      </c>
      <c r="D88" s="645">
        <v>1407.7</v>
      </c>
      <c r="E88" s="636">
        <v>1351.37</v>
      </c>
    </row>
    <row r="89" spans="1:5" ht="12" customHeight="1">
      <c r="A89" s="1847"/>
      <c r="B89" s="630" t="s">
        <v>607</v>
      </c>
      <c r="C89" s="156" t="s">
        <v>563</v>
      </c>
      <c r="D89" s="633" t="s">
        <v>607</v>
      </c>
      <c r="E89" s="156" t="s">
        <v>606</v>
      </c>
    </row>
    <row r="90" spans="1:5" ht="12" customHeight="1" thickBot="1">
      <c r="A90" s="1848"/>
      <c r="B90" s="631" t="s">
        <v>605</v>
      </c>
      <c r="C90" s="150" t="s">
        <v>604</v>
      </c>
      <c r="D90" s="634" t="s">
        <v>313</v>
      </c>
      <c r="E90" s="150" t="s">
        <v>603</v>
      </c>
    </row>
    <row r="91" spans="1:5" ht="15.75" customHeight="1" thickBot="1">
      <c r="A91" s="1838" t="s">
        <v>86</v>
      </c>
      <c r="B91" s="1839"/>
      <c r="C91" s="1839"/>
      <c r="D91" s="1839"/>
      <c r="E91" s="1840"/>
    </row>
    <row r="92" spans="1:5" ht="12" customHeight="1">
      <c r="A92" s="1846" t="s">
        <v>166</v>
      </c>
      <c r="B92" s="632">
        <v>41.41</v>
      </c>
      <c r="C92" s="635">
        <v>39.1</v>
      </c>
      <c r="D92" s="645">
        <v>40.01</v>
      </c>
      <c r="E92" s="638">
        <v>36.479999999999997</v>
      </c>
    </row>
    <row r="93" spans="1:5" ht="12" customHeight="1">
      <c r="A93" s="1847"/>
      <c r="B93" s="633" t="s">
        <v>595</v>
      </c>
      <c r="C93" s="156" t="s">
        <v>571</v>
      </c>
      <c r="D93" s="633" t="s">
        <v>595</v>
      </c>
      <c r="E93" s="155" t="s">
        <v>650</v>
      </c>
    </row>
    <row r="94" spans="1:5" ht="12" customHeight="1" thickBot="1">
      <c r="A94" s="1848"/>
      <c r="B94" s="640" t="s">
        <v>314</v>
      </c>
      <c r="C94" s="647" t="s">
        <v>599</v>
      </c>
      <c r="D94" s="153" t="s">
        <v>661</v>
      </c>
      <c r="E94" s="153" t="s">
        <v>661</v>
      </c>
    </row>
    <row r="95" spans="1:5" ht="12" customHeight="1">
      <c r="A95" s="1846" t="s">
        <v>168</v>
      </c>
      <c r="B95" s="632">
        <v>339.88</v>
      </c>
      <c r="C95" s="636">
        <v>338.06</v>
      </c>
      <c r="D95" s="645">
        <v>323.57</v>
      </c>
      <c r="E95" s="639">
        <v>304.49</v>
      </c>
    </row>
    <row r="96" spans="1:5" ht="12" customHeight="1">
      <c r="A96" s="1847"/>
      <c r="B96" s="633" t="s">
        <v>602</v>
      </c>
      <c r="C96" s="156" t="s">
        <v>600</v>
      </c>
      <c r="D96" s="633" t="s">
        <v>595</v>
      </c>
      <c r="E96" s="155" t="s">
        <v>600</v>
      </c>
    </row>
    <row r="97" spans="1:5" ht="12" customHeight="1" thickBot="1">
      <c r="A97" s="1848"/>
      <c r="B97" s="634" t="s">
        <v>303</v>
      </c>
      <c r="C97" s="150" t="s">
        <v>315</v>
      </c>
      <c r="D97" s="153" t="s">
        <v>660</v>
      </c>
      <c r="E97" s="153" t="s">
        <v>316</v>
      </c>
    </row>
    <row r="98" spans="1:5" ht="12" customHeight="1">
      <c r="A98" s="1846" t="s">
        <v>169</v>
      </c>
      <c r="B98" s="629">
        <v>746.47</v>
      </c>
      <c r="C98" s="636">
        <v>738.1</v>
      </c>
      <c r="D98" s="644">
        <v>733.18</v>
      </c>
      <c r="E98" s="636">
        <v>640.4</v>
      </c>
    </row>
    <row r="99" spans="1:5" ht="12" customHeight="1">
      <c r="A99" s="1847"/>
      <c r="B99" s="630" t="s">
        <v>607</v>
      </c>
      <c r="C99" s="156" t="s">
        <v>563</v>
      </c>
      <c r="D99" s="630" t="s">
        <v>601</v>
      </c>
      <c r="E99" s="156" t="s">
        <v>600</v>
      </c>
    </row>
    <row r="100" spans="1:5" ht="12" customHeight="1" thickBot="1">
      <c r="A100" s="1848"/>
      <c r="B100" s="631" t="s">
        <v>664</v>
      </c>
      <c r="C100" s="150" t="s">
        <v>598</v>
      </c>
      <c r="D100" s="631" t="s">
        <v>597</v>
      </c>
      <c r="E100" s="150" t="s">
        <v>596</v>
      </c>
    </row>
    <row r="101" spans="1:5" ht="15.75" customHeight="1" thickBot="1">
      <c r="A101" s="1838" t="s">
        <v>84</v>
      </c>
      <c r="B101" s="1839"/>
      <c r="C101" s="1839"/>
      <c r="D101" s="1839"/>
      <c r="E101" s="1840"/>
    </row>
    <row r="102" spans="1:5" ht="12" customHeight="1">
      <c r="A102" s="1846" t="s">
        <v>171</v>
      </c>
      <c r="B102" s="629">
        <v>8.81</v>
      </c>
      <c r="C102" s="635">
        <v>8.11</v>
      </c>
      <c r="D102" s="635">
        <v>8.81</v>
      </c>
      <c r="E102" s="635">
        <v>7.7</v>
      </c>
    </row>
    <row r="103" spans="1:5" ht="12" customHeight="1">
      <c r="A103" s="1847"/>
      <c r="B103" s="630" t="s">
        <v>595</v>
      </c>
      <c r="C103" s="156" t="s">
        <v>591</v>
      </c>
      <c r="D103" s="156" t="s">
        <v>595</v>
      </c>
      <c r="E103" s="156" t="s">
        <v>566</v>
      </c>
    </row>
    <row r="104" spans="1:5" ht="12" customHeight="1" thickBot="1">
      <c r="A104" s="1848"/>
      <c r="B104" s="631" t="s">
        <v>594</v>
      </c>
      <c r="C104" s="150" t="s">
        <v>594</v>
      </c>
      <c r="D104" s="150" t="s">
        <v>594</v>
      </c>
      <c r="E104" s="150" t="s">
        <v>593</v>
      </c>
    </row>
    <row r="105" spans="1:5" ht="12" customHeight="1">
      <c r="A105" s="1846" t="s">
        <v>165</v>
      </c>
      <c r="B105" s="629">
        <v>18.190000000000001</v>
      </c>
      <c r="C105" s="636">
        <v>16.649999999999999</v>
      </c>
      <c r="D105" s="636">
        <v>17.59</v>
      </c>
      <c r="E105" s="639">
        <v>15.71</v>
      </c>
    </row>
    <row r="106" spans="1:5" ht="12" customHeight="1">
      <c r="A106" s="1847"/>
      <c r="B106" s="665" t="s">
        <v>665</v>
      </c>
      <c r="C106" s="156" t="s">
        <v>591</v>
      </c>
      <c r="D106" s="663" t="s">
        <v>595</v>
      </c>
      <c r="E106" s="155" t="s">
        <v>590</v>
      </c>
    </row>
    <row r="107" spans="1:5" ht="12" customHeight="1" thickBot="1">
      <c r="A107" s="1848"/>
      <c r="B107" s="631" t="s">
        <v>663</v>
      </c>
      <c r="C107" s="150" t="s">
        <v>589</v>
      </c>
      <c r="D107" s="664" t="s">
        <v>663</v>
      </c>
      <c r="E107" s="153" t="s">
        <v>279</v>
      </c>
    </row>
    <row r="108" spans="1:5" ht="15.75" customHeight="1" thickBot="1">
      <c r="A108" s="1838" t="s">
        <v>172</v>
      </c>
      <c r="B108" s="1839"/>
      <c r="C108" s="1839"/>
      <c r="D108" s="1839"/>
      <c r="E108" s="1840"/>
    </row>
    <row r="109" spans="1:5" ht="12" customHeight="1">
      <c r="A109" s="1846" t="s">
        <v>165</v>
      </c>
      <c r="B109" s="629">
        <v>23.8</v>
      </c>
      <c r="C109" s="635">
        <v>22</v>
      </c>
      <c r="D109" s="635">
        <v>23</v>
      </c>
      <c r="E109" s="635">
        <v>20.79</v>
      </c>
    </row>
    <row r="110" spans="1:5" ht="12" customHeight="1">
      <c r="A110" s="1847"/>
      <c r="B110" s="630" t="s">
        <v>666</v>
      </c>
      <c r="C110" s="156" t="s">
        <v>581</v>
      </c>
      <c r="D110" s="156" t="s">
        <v>588</v>
      </c>
      <c r="E110" s="156" t="s">
        <v>561</v>
      </c>
    </row>
    <row r="111" spans="1:5" ht="12" customHeight="1" thickBot="1">
      <c r="A111" s="1848"/>
      <c r="B111" s="631" t="s">
        <v>667</v>
      </c>
      <c r="C111" s="150" t="s">
        <v>587</v>
      </c>
      <c r="D111" s="150" t="s">
        <v>583</v>
      </c>
      <c r="E111" s="150" t="s">
        <v>586</v>
      </c>
    </row>
    <row r="112" spans="1:5" ht="12" customHeight="1">
      <c r="A112" s="1846" t="s">
        <v>166</v>
      </c>
      <c r="B112" s="629">
        <v>53.01</v>
      </c>
      <c r="C112" s="636">
        <v>48.95</v>
      </c>
      <c r="D112" s="636">
        <v>50.68</v>
      </c>
      <c r="E112" s="636">
        <v>45.9</v>
      </c>
    </row>
    <row r="113" spans="1:5" ht="12" customHeight="1">
      <c r="A113" s="1847"/>
      <c r="B113" s="630" t="s">
        <v>585</v>
      </c>
      <c r="C113" s="156" t="s">
        <v>581</v>
      </c>
      <c r="D113" s="156" t="s">
        <v>582</v>
      </c>
      <c r="E113" s="156" t="s">
        <v>579</v>
      </c>
    </row>
    <row r="114" spans="1:5" ht="12" customHeight="1" thickBot="1">
      <c r="A114" s="1848"/>
      <c r="B114" s="631" t="s">
        <v>584</v>
      </c>
      <c r="C114" s="150" t="s">
        <v>318</v>
      </c>
      <c r="D114" s="150" t="s">
        <v>319</v>
      </c>
      <c r="E114" s="150" t="s">
        <v>583</v>
      </c>
    </row>
    <row r="115" spans="1:5" ht="12" customHeight="1">
      <c r="A115" s="1846" t="s">
        <v>167</v>
      </c>
      <c r="B115" s="632">
        <v>158.33000000000001</v>
      </c>
      <c r="C115" s="636">
        <v>149.38999999999999</v>
      </c>
      <c r="D115" s="639">
        <v>154.19</v>
      </c>
      <c r="E115" s="639">
        <v>144.66999999999999</v>
      </c>
    </row>
    <row r="116" spans="1:5" ht="12" customHeight="1">
      <c r="A116" s="1847"/>
      <c r="B116" s="633" t="s">
        <v>668</v>
      </c>
      <c r="C116" s="156" t="s">
        <v>581</v>
      </c>
      <c r="D116" s="155" t="s">
        <v>580</v>
      </c>
      <c r="E116" s="155" t="s">
        <v>579</v>
      </c>
    </row>
    <row r="117" spans="1:5" ht="12" customHeight="1" thickBot="1">
      <c r="A117" s="1848"/>
      <c r="B117" s="634" t="s">
        <v>669</v>
      </c>
      <c r="C117" s="150" t="s">
        <v>320</v>
      </c>
      <c r="D117" s="153" t="s">
        <v>321</v>
      </c>
      <c r="E117" s="153" t="s">
        <v>317</v>
      </c>
    </row>
    <row r="118" spans="1:5" ht="15.75" customHeight="1" thickBot="1">
      <c r="A118" s="1838" t="s">
        <v>173</v>
      </c>
      <c r="B118" s="1839"/>
      <c r="C118" s="1839"/>
      <c r="D118" s="1839"/>
      <c r="E118" s="1840"/>
    </row>
    <row r="119" spans="1:5" ht="10.5" customHeight="1">
      <c r="A119" s="1846" t="s">
        <v>174</v>
      </c>
      <c r="B119" s="652">
        <v>125.14</v>
      </c>
      <c r="C119" s="635">
        <v>129.03</v>
      </c>
      <c r="D119" s="653">
        <v>124.17</v>
      </c>
      <c r="E119" s="635">
        <v>112.19</v>
      </c>
    </row>
    <row r="120" spans="1:5" ht="10.5" customHeight="1">
      <c r="A120" s="1847"/>
      <c r="B120" s="160" t="s">
        <v>665</v>
      </c>
      <c r="C120" s="149" t="s">
        <v>578</v>
      </c>
      <c r="D120" s="642" t="s">
        <v>558</v>
      </c>
      <c r="E120" s="149" t="s">
        <v>564</v>
      </c>
    </row>
    <row r="121" spans="1:5" ht="10.5" customHeight="1">
      <c r="A121" s="1847"/>
      <c r="B121" s="160" t="s">
        <v>670</v>
      </c>
      <c r="C121" s="149" t="s">
        <v>568</v>
      </c>
      <c r="D121" s="642" t="s">
        <v>557</v>
      </c>
      <c r="E121" s="149" t="s">
        <v>686</v>
      </c>
    </row>
    <row r="122" spans="1:5" ht="10.5" customHeight="1">
      <c r="A122" s="1847"/>
      <c r="B122" s="160" t="s">
        <v>666</v>
      </c>
      <c r="C122" s="149" t="s">
        <v>684</v>
      </c>
      <c r="D122" s="642" t="s">
        <v>577</v>
      </c>
      <c r="E122" s="149" t="s">
        <v>569</v>
      </c>
    </row>
    <row r="123" spans="1:5" ht="10.5" customHeight="1">
      <c r="A123" s="1847"/>
      <c r="B123" s="160" t="s">
        <v>671</v>
      </c>
      <c r="C123" s="149" t="s">
        <v>563</v>
      </c>
      <c r="D123" s="642" t="s">
        <v>576</v>
      </c>
      <c r="E123" s="149" t="s">
        <v>561</v>
      </c>
    </row>
    <row r="124" spans="1:5" ht="10.5" customHeight="1" thickBot="1">
      <c r="A124" s="1848"/>
      <c r="B124" s="159" t="s">
        <v>658</v>
      </c>
      <c r="C124" s="150" t="s">
        <v>575</v>
      </c>
      <c r="D124" s="631" t="s">
        <v>574</v>
      </c>
      <c r="E124" s="150" t="s">
        <v>573</v>
      </c>
    </row>
    <row r="125" spans="1:5" ht="10.5" customHeight="1">
      <c r="A125" s="1846" t="s">
        <v>175</v>
      </c>
      <c r="B125" s="657">
        <v>308.02999999999997</v>
      </c>
      <c r="C125" s="649">
        <v>315.31</v>
      </c>
      <c r="D125" s="650">
        <v>259.7</v>
      </c>
      <c r="E125" s="651">
        <v>245.79</v>
      </c>
    </row>
    <row r="126" spans="1:5" ht="10.5" customHeight="1">
      <c r="A126" s="1847"/>
      <c r="B126" s="643" t="s">
        <v>666</v>
      </c>
      <c r="C126" s="149" t="s">
        <v>679</v>
      </c>
      <c r="D126" s="643" t="s">
        <v>567</v>
      </c>
      <c r="E126" s="152" t="s">
        <v>581</v>
      </c>
    </row>
    <row r="127" spans="1:5" ht="10.5" customHeight="1">
      <c r="A127" s="1847"/>
      <c r="B127" s="643" t="s">
        <v>672</v>
      </c>
      <c r="C127" s="149" t="s">
        <v>680</v>
      </c>
      <c r="D127" s="643" t="s">
        <v>572</v>
      </c>
      <c r="E127" s="152" t="s">
        <v>647</v>
      </c>
    </row>
    <row r="128" spans="1:5" ht="10.5" customHeight="1">
      <c r="A128" s="1847"/>
      <c r="B128" s="643" t="s">
        <v>673</v>
      </c>
      <c r="C128" s="149" t="s">
        <v>681</v>
      </c>
      <c r="D128" s="643" t="s">
        <v>562</v>
      </c>
      <c r="E128" s="152" t="s">
        <v>571</v>
      </c>
    </row>
    <row r="129" spans="1:5" ht="10.5" customHeight="1">
      <c r="A129" s="1847"/>
      <c r="B129" s="643" t="s">
        <v>674</v>
      </c>
      <c r="C129" s="149" t="s">
        <v>563</v>
      </c>
      <c r="D129" s="643" t="s">
        <v>558</v>
      </c>
      <c r="E129" s="152" t="s">
        <v>685</v>
      </c>
    </row>
    <row r="130" spans="1:5" ht="10.5" customHeight="1" thickBot="1">
      <c r="A130" s="1848"/>
      <c r="B130" s="640" t="s">
        <v>675</v>
      </c>
      <c r="C130" s="647" t="s">
        <v>322</v>
      </c>
      <c r="D130" s="640" t="s">
        <v>323</v>
      </c>
      <c r="E130" s="162" t="s">
        <v>323</v>
      </c>
    </row>
    <row r="131" spans="1:5" ht="10.5" customHeight="1">
      <c r="A131" s="1846" t="s">
        <v>176</v>
      </c>
      <c r="B131" s="658">
        <v>709.13</v>
      </c>
      <c r="C131" s="635">
        <v>723.45</v>
      </c>
      <c r="D131" s="654">
        <v>651.66</v>
      </c>
      <c r="E131" s="635">
        <v>630</v>
      </c>
    </row>
    <row r="132" spans="1:5" ht="10.5" customHeight="1">
      <c r="A132" s="1847"/>
      <c r="B132" s="161" t="s">
        <v>672</v>
      </c>
      <c r="C132" s="149" t="s">
        <v>682</v>
      </c>
      <c r="D132" s="643" t="s">
        <v>558</v>
      </c>
      <c r="E132" s="149" t="s">
        <v>569</v>
      </c>
    </row>
    <row r="133" spans="1:5" ht="10.5" customHeight="1">
      <c r="A133" s="1847"/>
      <c r="B133" s="161" t="s">
        <v>676</v>
      </c>
      <c r="C133" s="149" t="s">
        <v>568</v>
      </c>
      <c r="D133" s="643" t="s">
        <v>567</v>
      </c>
      <c r="E133" s="149" t="s">
        <v>566</v>
      </c>
    </row>
    <row r="134" spans="1:5" ht="10.5" customHeight="1">
      <c r="A134" s="1847"/>
      <c r="B134" s="161" t="s">
        <v>673</v>
      </c>
      <c r="C134" s="149" t="s">
        <v>683</v>
      </c>
      <c r="D134" s="643" t="s">
        <v>565</v>
      </c>
      <c r="E134" s="149" t="s">
        <v>564</v>
      </c>
    </row>
    <row r="135" spans="1:5" ht="10.5" customHeight="1">
      <c r="A135" s="1847"/>
      <c r="B135" s="161" t="s">
        <v>677</v>
      </c>
      <c r="C135" s="149" t="s">
        <v>563</v>
      </c>
      <c r="D135" s="643" t="s">
        <v>562</v>
      </c>
      <c r="E135" s="149" t="s">
        <v>561</v>
      </c>
    </row>
    <row r="136" spans="1:5" ht="10.5" customHeight="1" thickBot="1">
      <c r="A136" s="1848"/>
      <c r="B136" s="158" t="s">
        <v>678</v>
      </c>
      <c r="C136" s="150" t="s">
        <v>560</v>
      </c>
      <c r="D136" s="634" t="s">
        <v>314</v>
      </c>
      <c r="E136" s="150" t="s">
        <v>324</v>
      </c>
    </row>
  </sheetData>
  <mergeCells count="52">
    <mergeCell ref="A118:E118"/>
    <mergeCell ref="A119:A124"/>
    <mergeCell ref="A125:A130"/>
    <mergeCell ref="A131:A136"/>
    <mergeCell ref="A102:A104"/>
    <mergeCell ref="A105:A107"/>
    <mergeCell ref="A108:E108"/>
    <mergeCell ref="A109:A111"/>
    <mergeCell ref="A112:A114"/>
    <mergeCell ref="A115:A117"/>
    <mergeCell ref="A101:E101"/>
    <mergeCell ref="A72:E72"/>
    <mergeCell ref="A73:A75"/>
    <mergeCell ref="A76:A78"/>
    <mergeCell ref="A79:A81"/>
    <mergeCell ref="A82:A84"/>
    <mergeCell ref="A85:A87"/>
    <mergeCell ref="A88:A90"/>
    <mergeCell ref="A91:E91"/>
    <mergeCell ref="A92:A94"/>
    <mergeCell ref="A95:A97"/>
    <mergeCell ref="A98:A100"/>
    <mergeCell ref="A57:A62"/>
    <mergeCell ref="A63:A68"/>
    <mergeCell ref="A69:E69"/>
    <mergeCell ref="A70:A71"/>
    <mergeCell ref="B70:C70"/>
    <mergeCell ref="D70:E70"/>
    <mergeCell ref="A51:A56"/>
    <mergeCell ref="A24:A26"/>
    <mergeCell ref="A27:A29"/>
    <mergeCell ref="A30:A32"/>
    <mergeCell ref="A33:E33"/>
    <mergeCell ref="A34:A36"/>
    <mergeCell ref="A37:A39"/>
    <mergeCell ref="A40:E40"/>
    <mergeCell ref="A41:A43"/>
    <mergeCell ref="A44:A46"/>
    <mergeCell ref="A50:E50"/>
    <mergeCell ref="A47:A49"/>
    <mergeCell ref="A23:E23"/>
    <mergeCell ref="A1:E1"/>
    <mergeCell ref="A2:A3"/>
    <mergeCell ref="B2:C2"/>
    <mergeCell ref="D2:E2"/>
    <mergeCell ref="A4:E4"/>
    <mergeCell ref="A5:A7"/>
    <mergeCell ref="A8:A10"/>
    <mergeCell ref="A11:A13"/>
    <mergeCell ref="A14:A16"/>
    <mergeCell ref="A17:A19"/>
    <mergeCell ref="A20:A22"/>
  </mergeCells>
  <conditionalFormatting sqref="B73">
    <cfRule type="expression" dxfId="7" priority="5">
      <formula>IF(NOT(ISBLANK(B73)),IF(ISNUMBER(B73),IF(INT(B73/10000)&gt;23,TRUE,IF(INT(MOD(B73,10000)/100)&gt;59.99,TRUE,IF(MOD(B73,100)&gt;59.99,TRUE,FALSE))),TRUE))</formula>
    </cfRule>
  </conditionalFormatting>
  <conditionalFormatting sqref="B76 B79 B82 B92 B95 D105:E105 E95 D92:E92 D88 D85 E82 E79 D76 E73 D115:E115 D125:E125 D131 B63:E63 B57:E57 B44:E44 B47:C47 C41 E47 E41 B37:D37 B27:E27 C30:E30 D24:E24 D20:E20 D17:E17 B17 B20 B14 B11:E11 D14:E14 D8:E8 D5">
    <cfRule type="expression" dxfId="6" priority="4">
      <formula>IF(NOT(ISBLANK(B5)),IF(ISNUMBER(B5),IF(INT(B5/10000)&gt;23,TRUE,IF(INT(MOD(B5,10000)/100)&gt;59.99,TRUE,IF(MOD(B5,100)&gt;59.99,TRUE,FALSE))),TRUE))</formula>
    </cfRule>
  </conditionalFormatting>
  <conditionalFormatting sqref="E131">
    <cfRule type="expression" dxfId="5" priority="3">
      <formula>IF(NOT(ISBLANK(E131)),IF(ISNUMBER(E131),IF(INT(E131/10000)&gt;23,TRUE,IF(INT(MOD(E131,10000)/100)&gt;59.99,TRUE,IF(MOD(E131,100)&gt;59.99,TRUE,FALSE))),TRUE))</formula>
    </cfRule>
  </conditionalFormatting>
  <conditionalFormatting sqref="B131:C131 B125:C125 B119:E119 B112:E112 B115:C115 B109:E109 B102:E102 B105:C105 B98:E98 C95:D95 C92 E85 E88 B88:C88 B85:C85 C82:D82 C79:D79 C76 C73:D73 E76 B51:E51 D47 D41 B41 B34:E34 E37 B30 B24:C24 C20 C17 B8:C8 E5 B5:C5">
    <cfRule type="expression" dxfId="4" priority="2">
      <formula>IF(NOT(ISBLANK(B5)),IF(ISNUMBER(B5),IF(INT(B5/10000)&gt;23,TRUE,IF(INT(MOD(B5,10000)/100)&gt;59.99,TRUE,IF(MOD(B5,100)&gt;59.99,TRUE,FALSE))),TRUE))</formula>
    </cfRule>
  </conditionalFormatting>
  <conditionalFormatting sqref="C14">
    <cfRule type="expression" dxfId="3" priority="1">
      <formula>IF(NOT(ISBLANK(C14)),IF(ISNUMBER(C14),IF(INT(C14/10000)&gt;23,TRUE,IF(INT(MOD(C14,10000)/100)&gt;59.99,TRUE,IF(MOD(C14,100)&gt;59.99,TRUE,FALSE))),TRUE))</formula>
    </cfRule>
  </conditionalFormatting>
  <pageMargins left="0.52" right="0.32" top="0.32" bottom="0.37" header="0.3" footer="0.3"/>
  <pageSetup paperSize="9" orientation="portrait" verticalDpi="3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Лист25">
    <tabColor theme="9" tint="-0.249977111117893"/>
  </sheetPr>
  <dimension ref="A1:K573"/>
  <sheetViews>
    <sheetView topLeftCell="A181" zoomScale="96" zoomScaleNormal="96" workbookViewId="0">
      <selection activeCell="A192" sqref="A192"/>
    </sheetView>
  </sheetViews>
  <sheetFormatPr defaultColWidth="9.14453125" defaultRowHeight="21" customHeight="1"/>
  <cols>
    <col min="1" max="1" width="6.05078125" style="1014" customWidth="1"/>
    <col min="2" max="2" width="9.14453125" style="174" customWidth="1"/>
    <col min="3" max="3" width="34.16796875" style="174" customWidth="1"/>
    <col min="4" max="4" width="3.8984375" style="775" customWidth="1"/>
    <col min="5" max="5" width="11.8359375" style="780" customWidth="1"/>
    <col min="6" max="6" width="7.12890625" style="176" customWidth="1"/>
    <col min="7" max="7" width="4.83984375" style="177" hidden="1" customWidth="1"/>
    <col min="8" max="8" width="5.24609375" style="1012" customWidth="1"/>
    <col min="9" max="9" width="13.85546875" style="178" customWidth="1"/>
    <col min="10" max="10" width="6.859375" style="179" customWidth="1"/>
    <col min="11" max="11" width="7.53125" style="781" customWidth="1"/>
    <col min="12" max="22" width="1.34375" style="174" customWidth="1"/>
    <col min="23" max="23" width="12.23828125" style="174" bestFit="1" customWidth="1"/>
    <col min="24" max="24" width="15.87109375" style="174" customWidth="1"/>
    <col min="25" max="16384" width="9.14453125" style="174"/>
  </cols>
  <sheetData>
    <row r="1" spans="1:11" ht="21" customHeight="1">
      <c r="A1" s="1145"/>
      <c r="B1" s="1146"/>
      <c r="C1" s="1147"/>
      <c r="D1" s="1148"/>
      <c r="E1" s="1149"/>
      <c r="F1" s="1153"/>
      <c r="G1" s="1161"/>
      <c r="H1" s="1145"/>
      <c r="I1" s="1150"/>
      <c r="J1" s="1151" t="str">
        <f t="shared" ref="J1:J26" si="0">IF($D1="Заплыв №","ФИНИШ"," ")</f>
        <v xml:space="preserve"> </v>
      </c>
      <c r="K1" s="1152" t="str">
        <f t="shared" ref="K1:K26" si="1">IF($D1="Заплыв №","ПРИМ."," ")</f>
        <v xml:space="preserve"> </v>
      </c>
    </row>
    <row r="2" spans="1:11" ht="24.95" customHeight="1">
      <c r="A2" s="1219"/>
      <c r="B2" s="1220"/>
      <c r="C2" s="1228" t="s">
        <v>1429</v>
      </c>
      <c r="D2" s="1229"/>
      <c r="E2" s="1230"/>
      <c r="F2" s="1231"/>
      <c r="G2" s="1232"/>
      <c r="H2" s="1233"/>
      <c r="I2" s="1234"/>
      <c r="J2" s="1227" t="str">
        <f t="shared" si="0"/>
        <v xml:space="preserve"> </v>
      </c>
      <c r="K2" s="1152" t="str">
        <f t="shared" si="1"/>
        <v xml:space="preserve"> </v>
      </c>
    </row>
    <row r="3" spans="1:11" ht="24.95" customHeight="1">
      <c r="A3" s="1219"/>
      <c r="B3" s="1220"/>
      <c r="C3" s="1221"/>
      <c r="D3" s="1222"/>
      <c r="E3" s="1223"/>
      <c r="F3" s="1224"/>
      <c r="G3" s="1225"/>
      <c r="H3" s="1219"/>
      <c r="I3" s="1226"/>
      <c r="J3" s="1227" t="str">
        <f t="shared" si="0"/>
        <v xml:space="preserve"> </v>
      </c>
      <c r="K3" s="1152" t="str">
        <f t="shared" si="1"/>
        <v xml:space="preserve"> </v>
      </c>
    </row>
    <row r="4" spans="1:11" ht="24.95" customHeight="1">
      <c r="A4" s="1219"/>
      <c r="B4" s="1220"/>
      <c r="C4" s="1221"/>
      <c r="D4" s="1222"/>
      <c r="E4" s="1223" t="s">
        <v>1345</v>
      </c>
      <c r="F4" s="1224"/>
      <c r="G4" s="1225"/>
      <c r="H4" s="1219"/>
      <c r="I4" s="1226"/>
      <c r="J4" s="1227" t="str">
        <f t="shared" si="0"/>
        <v xml:space="preserve"> </v>
      </c>
      <c r="K4" s="1152" t="str">
        <f t="shared" si="1"/>
        <v xml:space="preserve"> </v>
      </c>
    </row>
    <row r="5" spans="1:11" ht="24.95" customHeight="1">
      <c r="A5" s="1219"/>
      <c r="B5" s="1220"/>
      <c r="C5" s="1221"/>
      <c r="D5" s="1222"/>
      <c r="E5" s="1223"/>
      <c r="F5" s="1224"/>
      <c r="G5" s="1225"/>
      <c r="H5" s="1219"/>
      <c r="I5" s="1226"/>
      <c r="J5" s="1227" t="str">
        <f t="shared" si="0"/>
        <v xml:space="preserve"> </v>
      </c>
      <c r="K5" s="1152" t="str">
        <f t="shared" si="1"/>
        <v xml:space="preserve"> </v>
      </c>
    </row>
    <row r="6" spans="1:11" ht="24.95" customHeight="1">
      <c r="A6" s="1219">
        <v>1</v>
      </c>
      <c r="B6" s="1220" t="s">
        <v>13</v>
      </c>
      <c r="C6" s="1221" t="s">
        <v>1358</v>
      </c>
      <c r="D6" s="1222"/>
      <c r="E6" s="1223">
        <v>2006</v>
      </c>
      <c r="F6" s="1224" t="s">
        <v>1448</v>
      </c>
      <c r="G6" s="1225" t="s">
        <v>1446</v>
      </c>
      <c r="H6" s="1219">
        <v>1</v>
      </c>
      <c r="I6" s="1226"/>
      <c r="J6" s="1227" t="str">
        <f t="shared" si="0"/>
        <v xml:space="preserve"> </v>
      </c>
      <c r="K6" s="1152" t="str">
        <f t="shared" si="1"/>
        <v xml:space="preserve"> </v>
      </c>
    </row>
    <row r="7" spans="1:11" ht="24.95" customHeight="1">
      <c r="A7" s="1219">
        <v>2</v>
      </c>
      <c r="B7" s="1220" t="s">
        <v>1</v>
      </c>
      <c r="C7" s="1221" t="s">
        <v>1432</v>
      </c>
      <c r="D7" s="1222"/>
      <c r="E7" s="1223">
        <v>2003</v>
      </c>
      <c r="F7" s="1224" t="s">
        <v>1431</v>
      </c>
      <c r="G7" s="1225" t="s">
        <v>1447</v>
      </c>
      <c r="H7" s="1219">
        <v>2</v>
      </c>
      <c r="I7" s="1226"/>
      <c r="J7" s="1227" t="str">
        <f t="shared" si="0"/>
        <v xml:space="preserve"> </v>
      </c>
      <c r="K7" s="1152" t="str">
        <f t="shared" si="1"/>
        <v xml:space="preserve"> </v>
      </c>
    </row>
    <row r="8" spans="1:11" ht="24.95" customHeight="1">
      <c r="A8" s="1219">
        <v>3</v>
      </c>
      <c r="B8" s="1220" t="s">
        <v>29</v>
      </c>
      <c r="C8" s="1221" t="s">
        <v>1366</v>
      </c>
      <c r="D8" s="1222"/>
      <c r="E8" s="1223">
        <v>2006</v>
      </c>
      <c r="F8" s="1224" t="s">
        <v>553</v>
      </c>
      <c r="G8" s="1225" t="s">
        <v>1450</v>
      </c>
      <c r="H8" s="1219">
        <v>3</v>
      </c>
      <c r="I8" s="1226"/>
      <c r="J8" s="1227" t="str">
        <f t="shared" si="0"/>
        <v xml:space="preserve"> </v>
      </c>
      <c r="K8" s="1152" t="str">
        <f t="shared" si="1"/>
        <v xml:space="preserve"> </v>
      </c>
    </row>
    <row r="9" spans="1:11" ht="24.95" customHeight="1">
      <c r="A9" s="1219">
        <v>4</v>
      </c>
      <c r="B9" s="1220" t="s">
        <v>29</v>
      </c>
      <c r="C9" s="1221" t="s">
        <v>1025</v>
      </c>
      <c r="D9" s="1222"/>
      <c r="E9" s="1223">
        <v>2006</v>
      </c>
      <c r="F9" s="1224" t="s">
        <v>1445</v>
      </c>
      <c r="G9" s="1225" t="s">
        <v>1446</v>
      </c>
      <c r="H9" s="1219">
        <v>4</v>
      </c>
      <c r="I9" s="1226"/>
      <c r="J9" s="1227" t="str">
        <f t="shared" si="0"/>
        <v xml:space="preserve"> </v>
      </c>
      <c r="K9" s="1152" t="str">
        <f t="shared" si="1"/>
        <v xml:space="preserve"> </v>
      </c>
    </row>
    <row r="10" spans="1:11" ht="24.95" customHeight="1">
      <c r="A10" s="1219">
        <v>5</v>
      </c>
      <c r="B10" s="1220" t="s">
        <v>27</v>
      </c>
      <c r="C10" s="1221" t="s">
        <v>668</v>
      </c>
      <c r="D10" s="1222"/>
      <c r="E10" s="1223">
        <v>2004</v>
      </c>
      <c r="F10" s="1224" t="s">
        <v>1448</v>
      </c>
      <c r="G10" s="1225" t="s">
        <v>1446</v>
      </c>
      <c r="H10" s="1219">
        <v>5</v>
      </c>
      <c r="I10" s="1226"/>
      <c r="J10" s="1227" t="str">
        <f t="shared" si="0"/>
        <v xml:space="preserve"> </v>
      </c>
      <c r="K10" s="1152" t="str">
        <f t="shared" si="1"/>
        <v xml:space="preserve"> </v>
      </c>
    </row>
    <row r="11" spans="1:11" ht="24.95" customHeight="1">
      <c r="A11" s="1219">
        <v>6</v>
      </c>
      <c r="B11" s="1220" t="s">
        <v>1</v>
      </c>
      <c r="C11" s="1221" t="s">
        <v>1435</v>
      </c>
      <c r="D11" s="1222"/>
      <c r="E11" s="1223">
        <v>2003</v>
      </c>
      <c r="F11" s="1224" t="s">
        <v>1433</v>
      </c>
      <c r="G11" s="1225" t="s">
        <v>1447</v>
      </c>
      <c r="H11" s="1219">
        <v>6</v>
      </c>
      <c r="I11" s="1226"/>
      <c r="J11" s="1227" t="str">
        <f t="shared" si="0"/>
        <v xml:space="preserve"> </v>
      </c>
      <c r="K11" s="1152" t="str">
        <f t="shared" si="1"/>
        <v xml:space="preserve"> </v>
      </c>
    </row>
    <row r="12" spans="1:11" ht="24.95" customHeight="1">
      <c r="A12" s="1219">
        <v>7</v>
      </c>
      <c r="B12" s="1220" t="s">
        <v>29</v>
      </c>
      <c r="C12" s="1221" t="s">
        <v>1441</v>
      </c>
      <c r="D12" s="1222"/>
      <c r="E12" s="1223">
        <v>2003</v>
      </c>
      <c r="F12" s="1224" t="s">
        <v>1433</v>
      </c>
      <c r="G12" s="1225" t="s">
        <v>1449</v>
      </c>
      <c r="H12" s="1219">
        <v>7</v>
      </c>
      <c r="I12" s="1226"/>
      <c r="J12" s="1227" t="str">
        <f t="shared" si="0"/>
        <v xml:space="preserve"> </v>
      </c>
      <c r="K12" s="1152" t="str">
        <f t="shared" si="1"/>
        <v xml:space="preserve"> </v>
      </c>
    </row>
    <row r="13" spans="1:11" ht="24.95" customHeight="1">
      <c r="A13" s="1219">
        <v>8</v>
      </c>
      <c r="B13" s="1220" t="s">
        <v>1</v>
      </c>
      <c r="C13" s="1221" t="s">
        <v>1436</v>
      </c>
      <c r="D13" s="1222"/>
      <c r="E13" s="1223">
        <v>2003</v>
      </c>
      <c r="F13" s="1224" t="s">
        <v>1443</v>
      </c>
      <c r="G13" s="1225" t="s">
        <v>1442</v>
      </c>
      <c r="H13" s="1219">
        <v>8</v>
      </c>
      <c r="I13" s="1226"/>
      <c r="J13" s="1227" t="str">
        <f t="shared" si="0"/>
        <v xml:space="preserve"> </v>
      </c>
      <c r="K13" s="1152" t="str">
        <f t="shared" si="1"/>
        <v xml:space="preserve"> </v>
      </c>
    </row>
    <row r="14" spans="1:11" ht="24.95" customHeight="1">
      <c r="A14" s="1219"/>
      <c r="B14" s="1220"/>
      <c r="C14" s="1221"/>
      <c r="D14" s="1222"/>
      <c r="E14" s="1223" t="s">
        <v>1346</v>
      </c>
      <c r="F14" s="1224"/>
      <c r="G14" s="1225"/>
      <c r="H14" s="1219"/>
      <c r="I14" s="1226"/>
      <c r="J14" s="1227" t="str">
        <f t="shared" si="0"/>
        <v xml:space="preserve"> </v>
      </c>
      <c r="K14" s="1152" t="str">
        <f t="shared" si="1"/>
        <v xml:space="preserve"> </v>
      </c>
    </row>
    <row r="15" spans="1:11" ht="24.95" customHeight="1">
      <c r="A15" s="1219">
        <v>1</v>
      </c>
      <c r="B15" s="1220" t="s">
        <v>29</v>
      </c>
      <c r="C15" s="1221" t="s">
        <v>1444</v>
      </c>
      <c r="D15" s="1222"/>
      <c r="E15" s="1223">
        <v>2006</v>
      </c>
      <c r="F15" s="1224" t="s">
        <v>1445</v>
      </c>
      <c r="G15" s="1225" t="s">
        <v>1446</v>
      </c>
      <c r="H15" s="1219">
        <v>1</v>
      </c>
      <c r="I15" s="1226"/>
      <c r="J15" s="1227" t="str">
        <f t="shared" si="0"/>
        <v xml:space="preserve"> </v>
      </c>
      <c r="K15" s="1152" t="str">
        <f t="shared" si="1"/>
        <v xml:space="preserve"> </v>
      </c>
    </row>
    <row r="16" spans="1:11" ht="24.95" customHeight="1">
      <c r="A16" s="1219">
        <v>2</v>
      </c>
      <c r="B16" s="1220" t="s">
        <v>27</v>
      </c>
      <c r="C16" s="1221" t="s">
        <v>1437</v>
      </c>
      <c r="D16" s="1222"/>
      <c r="E16" s="1223">
        <v>2002</v>
      </c>
      <c r="F16" s="1224" t="s">
        <v>1438</v>
      </c>
      <c r="G16" s="1225" t="s">
        <v>1442</v>
      </c>
      <c r="H16" s="1219">
        <v>2</v>
      </c>
      <c r="I16" s="1226"/>
      <c r="J16" s="1227" t="str">
        <f t="shared" si="0"/>
        <v xml:space="preserve"> </v>
      </c>
      <c r="K16" s="1152" t="str">
        <f t="shared" si="1"/>
        <v xml:space="preserve"> </v>
      </c>
    </row>
    <row r="17" spans="1:11" ht="24.95" customHeight="1">
      <c r="A17" s="1219">
        <v>3</v>
      </c>
      <c r="B17" s="1220" t="s">
        <v>27</v>
      </c>
      <c r="C17" s="1221" t="s">
        <v>1413</v>
      </c>
      <c r="D17" s="1222"/>
      <c r="E17" s="1223">
        <v>1998</v>
      </c>
      <c r="F17" s="1224" t="s">
        <v>1430</v>
      </c>
      <c r="G17" s="1225" t="s">
        <v>1447</v>
      </c>
      <c r="H17" s="1219">
        <v>3</v>
      </c>
      <c r="I17" s="1226"/>
      <c r="J17" s="1227" t="str">
        <f t="shared" si="0"/>
        <v xml:space="preserve"> </v>
      </c>
      <c r="K17" s="1152" t="str">
        <f t="shared" si="1"/>
        <v xml:space="preserve"> </v>
      </c>
    </row>
    <row r="18" spans="1:11" ht="24.95" customHeight="1">
      <c r="A18" s="1219">
        <v>4</v>
      </c>
      <c r="B18" s="1220" t="s">
        <v>25</v>
      </c>
      <c r="C18" s="1221" t="s">
        <v>1534</v>
      </c>
      <c r="D18" s="1222"/>
      <c r="E18" s="1223">
        <v>2003</v>
      </c>
      <c r="F18" s="1224" t="s">
        <v>1443</v>
      </c>
      <c r="G18" s="1225" t="s">
        <v>1442</v>
      </c>
      <c r="H18" s="1219">
        <v>4</v>
      </c>
      <c r="I18" s="1226"/>
      <c r="J18" s="1227" t="str">
        <f t="shared" si="0"/>
        <v xml:space="preserve"> </v>
      </c>
      <c r="K18" s="1152" t="str">
        <f t="shared" si="1"/>
        <v xml:space="preserve"> </v>
      </c>
    </row>
    <row r="19" spans="1:11" ht="24.95" customHeight="1">
      <c r="A19" s="1219">
        <v>5</v>
      </c>
      <c r="B19" s="1220" t="s">
        <v>23</v>
      </c>
      <c r="C19" s="1221" t="s">
        <v>552</v>
      </c>
      <c r="D19" s="1222"/>
      <c r="E19" s="1223">
        <v>1993</v>
      </c>
      <c r="F19" s="1224" t="s">
        <v>1439</v>
      </c>
      <c r="G19" s="1225" t="s">
        <v>1449</v>
      </c>
      <c r="H19" s="1219">
        <v>5</v>
      </c>
      <c r="I19" s="1226"/>
      <c r="J19" s="1227" t="str">
        <f t="shared" si="0"/>
        <v xml:space="preserve"> </v>
      </c>
      <c r="K19" s="1152" t="str">
        <f t="shared" si="1"/>
        <v xml:space="preserve"> </v>
      </c>
    </row>
    <row r="20" spans="1:11" ht="24.95" customHeight="1">
      <c r="A20" s="1219">
        <v>6</v>
      </c>
      <c r="B20" s="1220" t="s">
        <v>27</v>
      </c>
      <c r="C20" s="1221" t="s">
        <v>666</v>
      </c>
      <c r="D20" s="1222"/>
      <c r="E20" s="1223">
        <v>2003</v>
      </c>
      <c r="F20" s="1224" t="s">
        <v>1433</v>
      </c>
      <c r="G20" s="1225" t="s">
        <v>1447</v>
      </c>
      <c r="H20" s="1219">
        <v>6</v>
      </c>
      <c r="I20" s="1226"/>
      <c r="J20" s="1227" t="str">
        <f t="shared" si="0"/>
        <v xml:space="preserve"> </v>
      </c>
      <c r="K20" s="1152" t="str">
        <f t="shared" si="1"/>
        <v xml:space="preserve"> </v>
      </c>
    </row>
    <row r="21" spans="1:11" ht="24.95" customHeight="1">
      <c r="A21" s="1219">
        <v>7</v>
      </c>
      <c r="B21" s="1220" t="s">
        <v>27</v>
      </c>
      <c r="C21" s="1221" t="s">
        <v>567</v>
      </c>
      <c r="D21" s="1222"/>
      <c r="E21" s="1223">
        <v>1999</v>
      </c>
      <c r="F21" s="1224" t="s">
        <v>1431</v>
      </c>
      <c r="G21" s="1225" t="s">
        <v>1447</v>
      </c>
      <c r="H21" s="1219">
        <v>7</v>
      </c>
      <c r="I21" s="1226"/>
      <c r="J21" s="1227" t="str">
        <f t="shared" si="0"/>
        <v xml:space="preserve"> </v>
      </c>
      <c r="K21" s="1152" t="str">
        <f t="shared" si="1"/>
        <v xml:space="preserve"> </v>
      </c>
    </row>
    <row r="22" spans="1:11" ht="24.95" customHeight="1">
      <c r="A22" s="1219">
        <v>8</v>
      </c>
      <c r="B22" s="1220" t="s">
        <v>29</v>
      </c>
      <c r="C22" s="1221" t="s">
        <v>1434</v>
      </c>
      <c r="D22" s="1222"/>
      <c r="E22" s="1223">
        <v>2003</v>
      </c>
      <c r="F22" s="1224" t="s">
        <v>1433</v>
      </c>
      <c r="G22" s="1225" t="s">
        <v>1442</v>
      </c>
      <c r="H22" s="1219">
        <v>8</v>
      </c>
      <c r="I22" s="1226"/>
      <c r="J22" s="1227" t="str">
        <f t="shared" si="0"/>
        <v xml:space="preserve"> </v>
      </c>
      <c r="K22" s="1152" t="str">
        <f t="shared" si="1"/>
        <v xml:space="preserve"> </v>
      </c>
    </row>
    <row r="23" spans="1:11" ht="24.95" customHeight="1">
      <c r="A23" s="1219"/>
      <c r="B23" s="1220"/>
      <c r="C23" s="1221" t="s">
        <v>1451</v>
      </c>
      <c r="D23" s="1222"/>
      <c r="E23" s="1223"/>
      <c r="F23" s="1224"/>
      <c r="G23" s="1225"/>
      <c r="H23" s="1219"/>
      <c r="I23" s="1226"/>
      <c r="J23" s="1227" t="str">
        <f t="shared" si="0"/>
        <v xml:space="preserve"> </v>
      </c>
      <c r="K23" s="674" t="str">
        <f t="shared" si="1"/>
        <v xml:space="preserve"> </v>
      </c>
    </row>
    <row r="24" spans="1:11" ht="24.95" customHeight="1">
      <c r="A24" s="1219"/>
      <c r="B24" s="1220"/>
      <c r="C24" s="1221"/>
      <c r="D24" s="1222"/>
      <c r="E24" s="1223" t="s">
        <v>1351</v>
      </c>
      <c r="F24" s="1224"/>
      <c r="G24" s="1225"/>
      <c r="H24" s="1219"/>
      <c r="I24" s="1226"/>
      <c r="J24" s="1227" t="str">
        <f t="shared" si="0"/>
        <v xml:space="preserve"> </v>
      </c>
      <c r="K24" s="674" t="str">
        <f t="shared" si="1"/>
        <v xml:space="preserve"> </v>
      </c>
    </row>
    <row r="25" spans="1:11" ht="24.95" customHeight="1">
      <c r="A25" s="1219">
        <v>1</v>
      </c>
      <c r="B25" s="1220" t="s">
        <v>1</v>
      </c>
      <c r="C25" s="1221" t="s">
        <v>1354</v>
      </c>
      <c r="D25" s="1222"/>
      <c r="E25" s="1223">
        <v>2007</v>
      </c>
      <c r="F25" s="1224" t="s">
        <v>1350</v>
      </c>
      <c r="G25" s="1225" t="s">
        <v>1471</v>
      </c>
      <c r="H25" s="1219">
        <v>1</v>
      </c>
      <c r="I25" s="1226"/>
      <c r="J25" s="1227" t="str">
        <f t="shared" si="0"/>
        <v xml:space="preserve"> </v>
      </c>
      <c r="K25" s="674" t="str">
        <f t="shared" si="1"/>
        <v xml:space="preserve"> </v>
      </c>
    </row>
    <row r="26" spans="1:11" ht="24.95" customHeight="1">
      <c r="A26" s="1219">
        <v>2</v>
      </c>
      <c r="B26" s="1220" t="s">
        <v>29</v>
      </c>
      <c r="C26" s="1221" t="s">
        <v>1353</v>
      </c>
      <c r="D26" s="1222"/>
      <c r="E26" s="1223">
        <v>2007</v>
      </c>
      <c r="F26" s="1224" t="s">
        <v>1448</v>
      </c>
      <c r="G26" s="1225" t="s">
        <v>1471</v>
      </c>
      <c r="H26" s="1219">
        <v>2</v>
      </c>
      <c r="I26" s="1226"/>
      <c r="J26" s="1227" t="str">
        <f t="shared" si="0"/>
        <v xml:space="preserve"> </v>
      </c>
      <c r="K26" s="674" t="str">
        <f t="shared" si="1"/>
        <v xml:space="preserve"> </v>
      </c>
    </row>
    <row r="27" spans="1:11" ht="24.95" customHeight="1">
      <c r="A27" s="1219">
        <v>3</v>
      </c>
      <c r="B27" s="1220" t="s">
        <v>27</v>
      </c>
      <c r="C27" s="1221" t="s">
        <v>1466</v>
      </c>
      <c r="D27" s="1222"/>
      <c r="E27" s="1223">
        <v>2001</v>
      </c>
      <c r="F27" s="1224" t="s">
        <v>1431</v>
      </c>
      <c r="G27" s="1225" t="s">
        <v>1440</v>
      </c>
      <c r="H27" s="1219">
        <v>3</v>
      </c>
      <c r="I27" s="1226"/>
      <c r="J27" s="1227" t="str">
        <f t="shared" ref="J27:J91" si="2">IF($D27="Заплыв №","ФИНИШ"," ")</f>
        <v xml:space="preserve"> </v>
      </c>
      <c r="K27" s="674" t="str">
        <f t="shared" ref="K27:K91" si="3">IF($D27="Заплыв №","ПРИМ."," ")</f>
        <v xml:space="preserve"> </v>
      </c>
    </row>
    <row r="28" spans="1:11" ht="24.95" customHeight="1">
      <c r="A28" s="1219">
        <v>4</v>
      </c>
      <c r="B28" s="1220" t="s">
        <v>1</v>
      </c>
      <c r="C28" s="1221" t="s">
        <v>1375</v>
      </c>
      <c r="D28" s="1222"/>
      <c r="E28" s="1223">
        <v>2002</v>
      </c>
      <c r="F28" s="1224" t="s">
        <v>1433</v>
      </c>
      <c r="G28" s="1225" t="s">
        <v>1447</v>
      </c>
      <c r="H28" s="1219">
        <v>4</v>
      </c>
      <c r="I28" s="1226"/>
      <c r="J28" s="1227" t="str">
        <f t="shared" si="2"/>
        <v xml:space="preserve"> </v>
      </c>
      <c r="K28" s="674" t="str">
        <f t="shared" si="3"/>
        <v xml:space="preserve"> </v>
      </c>
    </row>
    <row r="29" spans="1:11" ht="24.95" customHeight="1">
      <c r="A29" s="1219">
        <v>5</v>
      </c>
      <c r="B29" s="1220" t="s">
        <v>29</v>
      </c>
      <c r="C29" s="1221" t="s">
        <v>1390</v>
      </c>
      <c r="D29" s="1222"/>
      <c r="E29" s="1223">
        <v>2003</v>
      </c>
      <c r="F29" s="1224" t="s">
        <v>1433</v>
      </c>
      <c r="G29" s="1225" t="s">
        <v>1470</v>
      </c>
      <c r="H29" s="1219">
        <v>5</v>
      </c>
      <c r="I29" s="1226"/>
      <c r="J29" s="1227" t="str">
        <f t="shared" si="2"/>
        <v xml:space="preserve"> </v>
      </c>
      <c r="K29" s="674" t="str">
        <f t="shared" si="3"/>
        <v xml:space="preserve"> </v>
      </c>
    </row>
    <row r="30" spans="1:11" ht="24.95" customHeight="1">
      <c r="A30" s="1219">
        <v>6</v>
      </c>
      <c r="B30" s="1220">
        <v>2</v>
      </c>
      <c r="C30" s="1221" t="s">
        <v>1533</v>
      </c>
      <c r="D30" s="1222"/>
      <c r="E30" s="1223">
        <v>2001</v>
      </c>
      <c r="F30" s="1224" t="s">
        <v>1443</v>
      </c>
      <c r="G30" s="1225" t="s">
        <v>1465</v>
      </c>
      <c r="H30" s="1219">
        <v>6</v>
      </c>
      <c r="I30" s="1226"/>
      <c r="J30" s="1227" t="str">
        <f t="shared" si="2"/>
        <v xml:space="preserve"> </v>
      </c>
      <c r="K30" s="674" t="str">
        <f t="shared" si="3"/>
        <v xml:space="preserve"> </v>
      </c>
    </row>
    <row r="31" spans="1:11" ht="24.95" customHeight="1">
      <c r="A31" s="1219">
        <v>7</v>
      </c>
      <c r="B31" s="1220">
        <v>2</v>
      </c>
      <c r="C31" s="1221" t="s">
        <v>1473</v>
      </c>
      <c r="D31" s="1222"/>
      <c r="E31" s="1223">
        <v>2006</v>
      </c>
      <c r="F31" s="1224" t="s">
        <v>553</v>
      </c>
      <c r="G31" s="1225" t="s">
        <v>1450</v>
      </c>
      <c r="H31" s="1219">
        <v>7</v>
      </c>
      <c r="I31" s="1226"/>
      <c r="J31" s="1227" t="str">
        <f t="shared" si="2"/>
        <v xml:space="preserve"> </v>
      </c>
      <c r="K31" s="674" t="str">
        <f t="shared" si="3"/>
        <v xml:space="preserve"> </v>
      </c>
    </row>
    <row r="32" spans="1:11" ht="24.95" customHeight="1">
      <c r="A32" s="1219">
        <v>8</v>
      </c>
      <c r="B32" s="1220"/>
      <c r="C32" s="1221"/>
      <c r="D32" s="1222"/>
      <c r="E32" s="1223"/>
      <c r="F32" s="1224"/>
      <c r="G32" s="1225"/>
      <c r="H32" s="1219">
        <v>8</v>
      </c>
      <c r="I32" s="1226"/>
      <c r="J32" s="1227" t="str">
        <f t="shared" si="2"/>
        <v xml:space="preserve"> </v>
      </c>
      <c r="K32" s="674" t="str">
        <f t="shared" si="3"/>
        <v xml:space="preserve"> </v>
      </c>
    </row>
    <row r="33" spans="1:11" ht="24.95" customHeight="1">
      <c r="A33" s="1219"/>
      <c r="B33" s="1220"/>
      <c r="C33" s="1221"/>
      <c r="D33" s="1222"/>
      <c r="E33" s="1223" t="s">
        <v>1352</v>
      </c>
      <c r="F33" s="1224"/>
      <c r="G33" s="1225"/>
      <c r="H33" s="1219"/>
      <c r="I33" s="1226"/>
      <c r="J33" s="1227" t="str">
        <f t="shared" si="2"/>
        <v xml:space="preserve"> </v>
      </c>
      <c r="K33" s="674" t="str">
        <f t="shared" si="3"/>
        <v xml:space="preserve"> </v>
      </c>
    </row>
    <row r="34" spans="1:11" ht="24.95" customHeight="1">
      <c r="A34" s="1219"/>
      <c r="B34" s="1220"/>
      <c r="C34" s="1221"/>
      <c r="D34" s="1222"/>
      <c r="E34" s="1223"/>
      <c r="F34" s="1224"/>
      <c r="G34" s="1225"/>
      <c r="H34" s="1219"/>
      <c r="I34" s="1226"/>
      <c r="J34" s="1227" t="str">
        <f t="shared" si="2"/>
        <v xml:space="preserve"> </v>
      </c>
      <c r="K34" s="674" t="str">
        <f t="shared" si="3"/>
        <v xml:space="preserve"> </v>
      </c>
    </row>
    <row r="35" spans="1:11" ht="24.95" customHeight="1">
      <c r="A35" s="1219">
        <v>1</v>
      </c>
      <c r="B35" s="1220" t="s">
        <v>1</v>
      </c>
      <c r="C35" s="1221" t="s">
        <v>1013</v>
      </c>
      <c r="D35" s="1222"/>
      <c r="E35" s="1223">
        <v>2005</v>
      </c>
      <c r="F35" s="1224" t="s">
        <v>553</v>
      </c>
      <c r="G35" s="1225" t="s">
        <v>1450</v>
      </c>
      <c r="H35" s="1219">
        <v>1</v>
      </c>
      <c r="I35" s="1226"/>
      <c r="J35" s="1227" t="str">
        <f t="shared" si="2"/>
        <v xml:space="preserve"> </v>
      </c>
      <c r="K35" s="674" t="str">
        <f t="shared" si="3"/>
        <v xml:space="preserve"> </v>
      </c>
    </row>
    <row r="36" spans="1:11" ht="24.95" customHeight="1">
      <c r="A36" s="1219">
        <v>2</v>
      </c>
      <c r="B36" s="1220" t="s">
        <v>29</v>
      </c>
      <c r="C36" s="1221" t="s">
        <v>1474</v>
      </c>
      <c r="D36" s="1222"/>
      <c r="E36" s="1223">
        <v>2006</v>
      </c>
      <c r="F36" s="1224" t="s">
        <v>553</v>
      </c>
      <c r="G36" s="1225" t="s">
        <v>1450</v>
      </c>
      <c r="H36" s="1219">
        <v>2</v>
      </c>
      <c r="I36" s="1226"/>
      <c r="J36" s="1227" t="str">
        <f t="shared" si="2"/>
        <v xml:space="preserve"> </v>
      </c>
      <c r="K36" s="674" t="str">
        <f t="shared" si="3"/>
        <v xml:space="preserve"> </v>
      </c>
    </row>
    <row r="37" spans="1:11" ht="24.95" customHeight="1">
      <c r="A37" s="1219">
        <v>3</v>
      </c>
      <c r="B37" s="1220" t="s">
        <v>25</v>
      </c>
      <c r="C37" s="1221" t="s">
        <v>619</v>
      </c>
      <c r="D37" s="1222"/>
      <c r="E37" s="1223">
        <v>1995</v>
      </c>
      <c r="F37" s="1224" t="s">
        <v>1431</v>
      </c>
      <c r="G37" s="1225" t="s">
        <v>1449</v>
      </c>
      <c r="H37" s="1219">
        <v>3</v>
      </c>
      <c r="I37" s="1226"/>
      <c r="J37" s="1227" t="str">
        <f t="shared" si="2"/>
        <v xml:space="preserve"> </v>
      </c>
      <c r="K37" s="674" t="str">
        <f t="shared" si="3"/>
        <v xml:space="preserve"> </v>
      </c>
    </row>
    <row r="38" spans="1:11" ht="24.95" customHeight="1">
      <c r="A38" s="1219">
        <v>4</v>
      </c>
      <c r="B38" s="1220" t="s">
        <v>29</v>
      </c>
      <c r="C38" s="1221" t="s">
        <v>1468</v>
      </c>
      <c r="D38" s="1222" t="s">
        <v>433</v>
      </c>
      <c r="E38" s="1223">
        <v>2004</v>
      </c>
      <c r="F38" s="1224" t="s">
        <v>1445</v>
      </c>
      <c r="G38" s="1225" t="s">
        <v>1450</v>
      </c>
      <c r="H38" s="1219">
        <v>4</v>
      </c>
      <c r="I38" s="1226"/>
      <c r="J38" s="1227" t="str">
        <f t="shared" si="2"/>
        <v xml:space="preserve"> </v>
      </c>
      <c r="K38" s="674" t="str">
        <f t="shared" si="3"/>
        <v xml:space="preserve"> </v>
      </c>
    </row>
    <row r="39" spans="1:11" ht="24.95" customHeight="1">
      <c r="A39" s="1219">
        <v>5</v>
      </c>
      <c r="B39" s="1220" t="s">
        <v>1</v>
      </c>
      <c r="C39" s="1221" t="s">
        <v>1469</v>
      </c>
      <c r="D39" s="1222"/>
      <c r="E39" s="1223">
        <v>2005</v>
      </c>
      <c r="F39" s="1224" t="s">
        <v>1445</v>
      </c>
      <c r="G39" s="1225" t="s">
        <v>1450</v>
      </c>
      <c r="H39" s="1219">
        <v>5</v>
      </c>
      <c r="I39" s="1226"/>
      <c r="J39" s="1227" t="str">
        <f t="shared" si="2"/>
        <v xml:space="preserve"> </v>
      </c>
      <c r="K39" s="674" t="str">
        <f t="shared" si="3"/>
        <v xml:space="preserve"> </v>
      </c>
    </row>
    <row r="40" spans="1:11" ht="24.95" customHeight="1">
      <c r="A40" s="1219">
        <v>6</v>
      </c>
      <c r="B40" s="1220" t="s">
        <v>1</v>
      </c>
      <c r="C40" s="1221" t="s">
        <v>1472</v>
      </c>
      <c r="D40" s="1222"/>
      <c r="E40" s="1223">
        <v>2005</v>
      </c>
      <c r="F40" s="1224" t="s">
        <v>553</v>
      </c>
      <c r="G40" s="1225" t="s">
        <v>1450</v>
      </c>
      <c r="H40" s="1219">
        <v>6</v>
      </c>
      <c r="I40" s="1226"/>
      <c r="J40" s="1227" t="str">
        <f t="shared" si="2"/>
        <v xml:space="preserve"> </v>
      </c>
      <c r="K40" s="674" t="str">
        <f t="shared" si="3"/>
        <v xml:space="preserve"> </v>
      </c>
    </row>
    <row r="41" spans="1:11" ht="24.95" customHeight="1">
      <c r="A41" s="1219">
        <v>7</v>
      </c>
      <c r="B41" s="1220" t="s">
        <v>29</v>
      </c>
      <c r="C41" s="1221" t="s">
        <v>1389</v>
      </c>
      <c r="D41" s="1222"/>
      <c r="E41" s="1223">
        <v>2001</v>
      </c>
      <c r="F41" s="1224" t="s">
        <v>1431</v>
      </c>
      <c r="G41" s="1225" t="s">
        <v>1447</v>
      </c>
      <c r="H41" s="1219">
        <v>7</v>
      </c>
      <c r="I41" s="1226"/>
      <c r="J41" s="1227" t="str">
        <f t="shared" si="2"/>
        <v xml:space="preserve"> </v>
      </c>
      <c r="K41" s="674" t="str">
        <f t="shared" si="3"/>
        <v xml:space="preserve"> </v>
      </c>
    </row>
    <row r="42" spans="1:11" ht="24.95" customHeight="1">
      <c r="A42" s="1219">
        <v>8</v>
      </c>
      <c r="B42" s="1220"/>
      <c r="C42" s="1221"/>
      <c r="D42" s="1222"/>
      <c r="E42" s="1223"/>
      <c r="F42" s="1224"/>
      <c r="G42" s="1225"/>
      <c r="H42" s="1219">
        <v>8</v>
      </c>
      <c r="I42" s="1226"/>
      <c r="J42" s="1227" t="str">
        <f t="shared" si="2"/>
        <v xml:space="preserve"> </v>
      </c>
      <c r="K42" s="674" t="str">
        <f t="shared" si="3"/>
        <v xml:space="preserve"> </v>
      </c>
    </row>
    <row r="43" spans="1:11" ht="24.95" customHeight="1">
      <c r="A43" s="1219"/>
      <c r="B43" s="1220"/>
      <c r="C43" s="1221"/>
      <c r="D43" s="1222"/>
      <c r="E43" s="1223" t="s">
        <v>1355</v>
      </c>
      <c r="F43" s="1224"/>
      <c r="G43" s="1225"/>
      <c r="H43" s="1219"/>
      <c r="I43" s="1226"/>
      <c r="J43" s="1227" t="str">
        <f t="shared" si="2"/>
        <v xml:space="preserve"> </v>
      </c>
      <c r="K43" s="674" t="str">
        <f t="shared" si="3"/>
        <v xml:space="preserve"> </v>
      </c>
    </row>
    <row r="44" spans="1:11" ht="24.95" customHeight="1">
      <c r="A44" s="1219"/>
      <c r="B44" s="1220"/>
      <c r="C44" s="1221"/>
      <c r="D44" s="1222"/>
      <c r="E44" s="1223"/>
      <c r="F44" s="1224"/>
      <c r="G44" s="1225"/>
      <c r="H44" s="1219"/>
      <c r="I44" s="1226"/>
      <c r="J44" s="1227" t="str">
        <f t="shared" si="2"/>
        <v xml:space="preserve"> </v>
      </c>
      <c r="K44" s="674" t="str">
        <f t="shared" si="3"/>
        <v xml:space="preserve"> </v>
      </c>
    </row>
    <row r="45" spans="1:11" ht="24.95" customHeight="1">
      <c r="A45" s="1219">
        <v>1</v>
      </c>
      <c r="B45" s="1220" t="s">
        <v>27</v>
      </c>
      <c r="C45" s="1221" t="s">
        <v>1388</v>
      </c>
      <c r="D45" s="1222"/>
      <c r="E45" s="1223">
        <v>2002</v>
      </c>
      <c r="F45" s="1224" t="s">
        <v>1431</v>
      </c>
      <c r="G45" s="1225" t="s">
        <v>1447</v>
      </c>
      <c r="H45" s="1219">
        <v>1</v>
      </c>
      <c r="I45" s="1226"/>
      <c r="J45" s="1227" t="str">
        <f t="shared" si="2"/>
        <v xml:space="preserve"> </v>
      </c>
      <c r="K45" s="674" t="str">
        <f t="shared" si="3"/>
        <v xml:space="preserve"> </v>
      </c>
    </row>
    <row r="46" spans="1:11" ht="24.95" customHeight="1">
      <c r="A46" s="1219">
        <v>2</v>
      </c>
      <c r="B46" s="1220" t="s">
        <v>15</v>
      </c>
      <c r="C46" s="1221" t="s">
        <v>1456</v>
      </c>
      <c r="D46" s="1222"/>
      <c r="E46" s="1223">
        <v>2002</v>
      </c>
      <c r="F46" s="1224" t="s">
        <v>1452</v>
      </c>
      <c r="G46" s="1225" t="s">
        <v>1465</v>
      </c>
      <c r="H46" s="1219">
        <v>2</v>
      </c>
      <c r="I46" s="1226"/>
      <c r="J46" s="1227" t="str">
        <f t="shared" si="2"/>
        <v xml:space="preserve"> </v>
      </c>
      <c r="K46" s="674" t="str">
        <f t="shared" si="3"/>
        <v xml:space="preserve"> </v>
      </c>
    </row>
    <row r="47" spans="1:11" ht="24.95" customHeight="1">
      <c r="A47" s="1219">
        <v>3</v>
      </c>
      <c r="B47" s="1220" t="s">
        <v>29</v>
      </c>
      <c r="C47" s="1221" t="s">
        <v>997</v>
      </c>
      <c r="D47" s="1222"/>
      <c r="E47" s="1223">
        <v>2006</v>
      </c>
      <c r="F47" s="1224" t="s">
        <v>1344</v>
      </c>
      <c r="G47" s="1225" t="s">
        <v>1450</v>
      </c>
      <c r="H47" s="1219">
        <v>3</v>
      </c>
      <c r="I47" s="1226"/>
      <c r="J47" s="1227" t="str">
        <f t="shared" si="2"/>
        <v xml:space="preserve"> </v>
      </c>
      <c r="K47" s="674" t="str">
        <f t="shared" si="3"/>
        <v xml:space="preserve"> </v>
      </c>
    </row>
    <row r="48" spans="1:11" ht="24.95" customHeight="1">
      <c r="A48" s="1219">
        <v>4</v>
      </c>
      <c r="B48" s="1220" t="s">
        <v>1457</v>
      </c>
      <c r="C48" s="1221" t="s">
        <v>1458</v>
      </c>
      <c r="D48" s="1222"/>
      <c r="E48" s="1223">
        <v>2001</v>
      </c>
      <c r="F48" s="1224" t="s">
        <v>1443</v>
      </c>
      <c r="G48" s="1225" t="s">
        <v>1465</v>
      </c>
      <c r="H48" s="1219">
        <v>4</v>
      </c>
      <c r="I48" s="1226"/>
      <c r="J48" s="1227" t="str">
        <f t="shared" si="2"/>
        <v xml:space="preserve"> </v>
      </c>
      <c r="K48" s="674" t="str">
        <f t="shared" si="3"/>
        <v xml:space="preserve"> </v>
      </c>
    </row>
    <row r="49" spans="1:11" ht="24.95" customHeight="1">
      <c r="A49" s="1219">
        <v>5</v>
      </c>
      <c r="B49" s="1220" t="s">
        <v>1457</v>
      </c>
      <c r="C49" s="1221" t="s">
        <v>1460</v>
      </c>
      <c r="D49" s="1222"/>
      <c r="E49" s="1223">
        <v>2003</v>
      </c>
      <c r="F49" s="1224" t="s">
        <v>1443</v>
      </c>
      <c r="G49" s="1225" t="s">
        <v>1465</v>
      </c>
      <c r="H49" s="1219">
        <v>5</v>
      </c>
      <c r="I49" s="1226"/>
      <c r="J49" s="1227" t="str">
        <f t="shared" si="2"/>
        <v xml:space="preserve"> </v>
      </c>
      <c r="K49" s="674" t="str">
        <f t="shared" si="3"/>
        <v xml:space="preserve"> </v>
      </c>
    </row>
    <row r="50" spans="1:11" ht="24.95" customHeight="1">
      <c r="A50" s="1219">
        <v>6</v>
      </c>
      <c r="B50" s="1220" t="s">
        <v>15</v>
      </c>
      <c r="C50" s="1221" t="s">
        <v>1455</v>
      </c>
      <c r="D50" s="1222"/>
      <c r="E50" s="1223">
        <v>2002</v>
      </c>
      <c r="F50" s="1224" t="s">
        <v>1452</v>
      </c>
      <c r="G50" s="1225" t="s">
        <v>1465</v>
      </c>
      <c r="H50" s="1219">
        <v>6</v>
      </c>
      <c r="I50" s="1226"/>
      <c r="J50" s="1227" t="str">
        <f t="shared" si="2"/>
        <v xml:space="preserve"> </v>
      </c>
      <c r="K50" s="674" t="str">
        <f t="shared" si="3"/>
        <v xml:space="preserve"> </v>
      </c>
    </row>
    <row r="51" spans="1:11" ht="24.95" customHeight="1">
      <c r="A51" s="1219">
        <v>7</v>
      </c>
      <c r="B51" s="1220" t="s">
        <v>29</v>
      </c>
      <c r="C51" s="1221" t="s">
        <v>1416</v>
      </c>
      <c r="D51" s="1222"/>
      <c r="E51" s="1223">
        <v>2003</v>
      </c>
      <c r="F51" s="1224" t="s">
        <v>1431</v>
      </c>
      <c r="G51" s="1225" t="s">
        <v>1447</v>
      </c>
      <c r="H51" s="1219">
        <v>7</v>
      </c>
      <c r="I51" s="1226"/>
      <c r="J51" s="1227" t="str">
        <f t="shared" si="2"/>
        <v xml:space="preserve"> </v>
      </c>
      <c r="K51" s="674" t="str">
        <f t="shared" si="3"/>
        <v xml:space="preserve"> </v>
      </c>
    </row>
    <row r="52" spans="1:11" ht="24.95" customHeight="1">
      <c r="A52" s="1219">
        <v>8</v>
      </c>
      <c r="B52" s="1220" t="s">
        <v>29</v>
      </c>
      <c r="C52" s="1221" t="s">
        <v>1348</v>
      </c>
      <c r="D52" s="1222"/>
      <c r="E52" s="1223">
        <v>2003</v>
      </c>
      <c r="F52" s="1224" t="s">
        <v>1431</v>
      </c>
      <c r="G52" s="1225" t="s">
        <v>1447</v>
      </c>
      <c r="H52" s="1219">
        <v>8</v>
      </c>
      <c r="I52" s="1226"/>
      <c r="J52" s="1227" t="str">
        <f t="shared" si="2"/>
        <v xml:space="preserve"> </v>
      </c>
      <c r="K52" s="674" t="str">
        <f t="shared" si="3"/>
        <v xml:space="preserve"> </v>
      </c>
    </row>
    <row r="53" spans="1:11" ht="24.95" customHeight="1">
      <c r="A53" s="1219"/>
      <c r="B53" s="1220"/>
      <c r="C53" s="1221"/>
      <c r="D53" s="1222"/>
      <c r="E53" s="1223"/>
      <c r="F53" s="1224"/>
      <c r="G53" s="1225"/>
      <c r="H53" s="1219"/>
      <c r="I53" s="1226"/>
      <c r="J53" s="1227" t="str">
        <f t="shared" si="2"/>
        <v xml:space="preserve"> </v>
      </c>
      <c r="K53" s="674" t="str">
        <f t="shared" si="3"/>
        <v xml:space="preserve"> </v>
      </c>
    </row>
    <row r="54" spans="1:11" ht="24.95" customHeight="1">
      <c r="A54" s="1219"/>
      <c r="B54" s="1220"/>
      <c r="C54" s="1221"/>
      <c r="D54" s="1222"/>
      <c r="E54" s="1223" t="s">
        <v>1356</v>
      </c>
      <c r="F54" s="1224"/>
      <c r="G54" s="1225"/>
      <c r="H54" s="1219"/>
      <c r="I54" s="1226"/>
      <c r="J54" s="1227" t="str">
        <f t="shared" si="2"/>
        <v xml:space="preserve"> </v>
      </c>
      <c r="K54" s="674" t="str">
        <f t="shared" si="3"/>
        <v xml:space="preserve"> </v>
      </c>
    </row>
    <row r="55" spans="1:11" ht="24.95" customHeight="1">
      <c r="A55" s="1219"/>
      <c r="B55" s="1220"/>
      <c r="C55" s="1221"/>
      <c r="D55" s="1222"/>
      <c r="E55" s="1223"/>
      <c r="F55" s="1224"/>
      <c r="G55" s="1225"/>
      <c r="H55" s="1219"/>
      <c r="I55" s="1226"/>
      <c r="J55" s="1227" t="str">
        <f t="shared" si="2"/>
        <v xml:space="preserve"> </v>
      </c>
      <c r="K55" s="674" t="str">
        <f t="shared" si="3"/>
        <v xml:space="preserve"> </v>
      </c>
    </row>
    <row r="56" spans="1:11" ht="24.95" customHeight="1">
      <c r="A56" s="1219">
        <v>1</v>
      </c>
      <c r="B56" s="1220" t="s">
        <v>27</v>
      </c>
      <c r="C56" s="1221" t="s">
        <v>1467</v>
      </c>
      <c r="D56" s="1222"/>
      <c r="E56" s="1223">
        <v>2004</v>
      </c>
      <c r="F56" s="1224" t="s">
        <v>1445</v>
      </c>
      <c r="G56" s="1225" t="s">
        <v>1450</v>
      </c>
      <c r="H56" s="1219">
        <v>1</v>
      </c>
      <c r="I56" s="1226"/>
      <c r="J56" s="1227" t="str">
        <f t="shared" si="2"/>
        <v xml:space="preserve"> </v>
      </c>
      <c r="K56" s="674" t="str">
        <f t="shared" si="3"/>
        <v xml:space="preserve"> </v>
      </c>
    </row>
    <row r="57" spans="1:11" ht="24.95" customHeight="1">
      <c r="A57" s="1219">
        <v>2</v>
      </c>
      <c r="B57" s="1220" t="s">
        <v>25</v>
      </c>
      <c r="C57" s="1221" t="s">
        <v>1462</v>
      </c>
      <c r="D57" s="1222"/>
      <c r="E57" s="1223">
        <v>2001</v>
      </c>
      <c r="F57" s="1224" t="s">
        <v>1463</v>
      </c>
      <c r="G57" s="1225" t="s">
        <v>1465</v>
      </c>
      <c r="H57" s="1219">
        <v>2</v>
      </c>
      <c r="I57" s="1226"/>
      <c r="J57" s="1227" t="str">
        <f t="shared" si="2"/>
        <v xml:space="preserve"> </v>
      </c>
      <c r="K57" s="674" t="str">
        <f t="shared" si="3"/>
        <v xml:space="preserve"> </v>
      </c>
    </row>
    <row r="58" spans="1:11" ht="24.95" customHeight="1">
      <c r="A58" s="1219">
        <v>3</v>
      </c>
      <c r="B58" s="1220" t="s">
        <v>23</v>
      </c>
      <c r="C58" s="1221" t="s">
        <v>1453</v>
      </c>
      <c r="D58" s="1222"/>
      <c r="E58" s="1223">
        <v>2002</v>
      </c>
      <c r="F58" s="1224" t="s">
        <v>1454</v>
      </c>
      <c r="G58" s="1225" t="s">
        <v>1465</v>
      </c>
      <c r="H58" s="1219">
        <v>3</v>
      </c>
      <c r="I58" s="1226" t="str">
        <f t="shared" ref="I58:I91" si="4">IF($D58="Заплыв №","РЕЗУЛЬТАТ"," ")</f>
        <v xml:space="preserve"> </v>
      </c>
      <c r="J58" s="1227" t="str">
        <f t="shared" si="2"/>
        <v xml:space="preserve"> </v>
      </c>
      <c r="K58" s="674" t="str">
        <f t="shared" si="3"/>
        <v xml:space="preserve"> </v>
      </c>
    </row>
    <row r="59" spans="1:11" ht="24.95" customHeight="1">
      <c r="A59" s="1219">
        <v>4</v>
      </c>
      <c r="B59" s="1220" t="s">
        <v>25</v>
      </c>
      <c r="C59" s="1221" t="s">
        <v>566</v>
      </c>
      <c r="D59" s="1222"/>
      <c r="E59" s="1223">
        <v>1998</v>
      </c>
      <c r="F59" s="1224" t="s">
        <v>1344</v>
      </c>
      <c r="G59" s="1225" t="s">
        <v>1450</v>
      </c>
      <c r="H59" s="1219">
        <v>4</v>
      </c>
      <c r="I59" s="1226" t="str">
        <f t="shared" si="4"/>
        <v xml:space="preserve"> </v>
      </c>
      <c r="J59" s="1227" t="str">
        <f t="shared" si="2"/>
        <v xml:space="preserve"> </v>
      </c>
      <c r="K59" s="674" t="str">
        <f t="shared" si="3"/>
        <v xml:space="preserve"> </v>
      </c>
    </row>
    <row r="60" spans="1:11" ht="24.95" customHeight="1">
      <c r="A60" s="1219">
        <v>5</v>
      </c>
      <c r="B60" s="1220" t="s">
        <v>27</v>
      </c>
      <c r="C60" s="1221" t="s">
        <v>1459</v>
      </c>
      <c r="D60" s="1222"/>
      <c r="E60" s="1223">
        <v>2003</v>
      </c>
      <c r="F60" s="1224" t="s">
        <v>1443</v>
      </c>
      <c r="G60" s="1225" t="s">
        <v>1465</v>
      </c>
      <c r="H60" s="1219">
        <v>5</v>
      </c>
      <c r="I60" s="1226" t="str">
        <f t="shared" si="4"/>
        <v xml:space="preserve"> </v>
      </c>
      <c r="J60" s="1227" t="str">
        <f t="shared" si="2"/>
        <v xml:space="preserve"> </v>
      </c>
      <c r="K60" s="674" t="str">
        <f t="shared" si="3"/>
        <v xml:space="preserve"> </v>
      </c>
    </row>
    <row r="61" spans="1:11" ht="24.95" customHeight="1">
      <c r="A61" s="1219">
        <v>6</v>
      </c>
      <c r="B61" s="1220" t="s">
        <v>25</v>
      </c>
      <c r="C61" s="1221" t="s">
        <v>600</v>
      </c>
      <c r="D61" s="1222"/>
      <c r="E61" s="1223">
        <v>1997</v>
      </c>
      <c r="F61" s="1224" t="s">
        <v>1464</v>
      </c>
      <c r="G61" s="1225" t="s">
        <v>1449</v>
      </c>
      <c r="H61" s="1219">
        <v>6</v>
      </c>
      <c r="I61" s="1226" t="str">
        <f t="shared" si="4"/>
        <v xml:space="preserve"> </v>
      </c>
      <c r="J61" s="1227" t="str">
        <f t="shared" si="2"/>
        <v xml:space="preserve"> </v>
      </c>
      <c r="K61" s="674" t="str">
        <f t="shared" si="3"/>
        <v xml:space="preserve"> </v>
      </c>
    </row>
    <row r="62" spans="1:11" ht="24.95" customHeight="1">
      <c r="A62" s="1219">
        <v>7</v>
      </c>
      <c r="B62" s="1220" t="s">
        <v>27</v>
      </c>
      <c r="C62" s="1221" t="s">
        <v>1461</v>
      </c>
      <c r="D62" s="1222"/>
      <c r="E62" s="1223">
        <v>2003</v>
      </c>
      <c r="F62" s="1224" t="s">
        <v>1443</v>
      </c>
      <c r="G62" s="1225" t="s">
        <v>1465</v>
      </c>
      <c r="H62" s="1219">
        <v>7</v>
      </c>
      <c r="I62" s="1226" t="str">
        <f t="shared" si="4"/>
        <v xml:space="preserve"> </v>
      </c>
      <c r="J62" s="1227" t="str">
        <f t="shared" si="2"/>
        <v xml:space="preserve"> </v>
      </c>
      <c r="K62" s="674" t="str">
        <f t="shared" si="3"/>
        <v xml:space="preserve"> </v>
      </c>
    </row>
    <row r="63" spans="1:11" ht="24.95" customHeight="1">
      <c r="A63" s="1219">
        <v>8</v>
      </c>
      <c r="B63" s="1220"/>
      <c r="C63" s="1221"/>
      <c r="D63" s="1222"/>
      <c r="E63" s="1223"/>
      <c r="F63" s="1224"/>
      <c r="G63" s="1225"/>
      <c r="H63" s="1219">
        <v>8</v>
      </c>
      <c r="I63" s="1226" t="str">
        <f t="shared" si="4"/>
        <v xml:space="preserve"> </v>
      </c>
      <c r="J63" s="1227" t="str">
        <f t="shared" si="2"/>
        <v xml:space="preserve"> </v>
      </c>
      <c r="K63" s="674" t="str">
        <f t="shared" si="3"/>
        <v xml:space="preserve"> </v>
      </c>
    </row>
    <row r="64" spans="1:11" ht="24.95" customHeight="1">
      <c r="A64" s="1219"/>
      <c r="B64" s="1220"/>
      <c r="C64" s="1221"/>
      <c r="D64" s="1222"/>
      <c r="E64" s="1223"/>
      <c r="F64" s="1224"/>
      <c r="G64" s="1225"/>
      <c r="H64" s="1219"/>
      <c r="I64" s="1226"/>
      <c r="J64" s="1227"/>
      <c r="K64" s="674"/>
    </row>
    <row r="65" spans="1:11" ht="24.95" customHeight="1">
      <c r="A65" s="1219"/>
      <c r="B65" s="1220"/>
      <c r="C65" s="1221" t="s">
        <v>1475</v>
      </c>
      <c r="D65" s="1222"/>
      <c r="E65" s="1223"/>
      <c r="F65" s="1224"/>
      <c r="G65" s="1225"/>
      <c r="H65" s="1219"/>
      <c r="I65" s="1226" t="str">
        <f t="shared" si="4"/>
        <v xml:space="preserve"> </v>
      </c>
      <c r="J65" s="1227" t="str">
        <f t="shared" si="2"/>
        <v xml:space="preserve"> </v>
      </c>
      <c r="K65" s="674" t="str">
        <f t="shared" si="3"/>
        <v xml:space="preserve"> </v>
      </c>
    </row>
    <row r="66" spans="1:11" ht="24.95" customHeight="1">
      <c r="A66" s="1219"/>
      <c r="B66" s="1220"/>
      <c r="C66" s="1221"/>
      <c r="D66" s="1222"/>
      <c r="E66" s="1223"/>
      <c r="F66" s="1224"/>
      <c r="G66" s="1225"/>
      <c r="H66" s="1219"/>
      <c r="I66" s="1226" t="str">
        <f t="shared" si="4"/>
        <v xml:space="preserve"> </v>
      </c>
      <c r="J66" s="1227" t="str">
        <f t="shared" si="2"/>
        <v xml:space="preserve"> </v>
      </c>
      <c r="K66" s="674" t="str">
        <f t="shared" si="3"/>
        <v xml:space="preserve"> </v>
      </c>
    </row>
    <row r="67" spans="1:11" ht="24.95" customHeight="1">
      <c r="A67" s="1219"/>
      <c r="B67" s="1220"/>
      <c r="C67" s="1221"/>
      <c r="D67" s="1222"/>
      <c r="E67" s="1223" t="s">
        <v>1367</v>
      </c>
      <c r="F67" s="1224"/>
      <c r="G67" s="1225"/>
      <c r="H67" s="1219"/>
      <c r="I67" s="1226" t="str">
        <f t="shared" si="4"/>
        <v xml:space="preserve"> </v>
      </c>
      <c r="J67" s="1227" t="str">
        <f t="shared" si="2"/>
        <v xml:space="preserve"> </v>
      </c>
      <c r="K67" s="674" t="str">
        <f t="shared" si="3"/>
        <v xml:space="preserve"> </v>
      </c>
    </row>
    <row r="68" spans="1:11" ht="24.95" customHeight="1">
      <c r="A68" s="1219">
        <v>1</v>
      </c>
      <c r="B68" s="1220" t="s">
        <v>15</v>
      </c>
      <c r="C68" s="1221" t="s">
        <v>1545</v>
      </c>
      <c r="D68" s="1222"/>
      <c r="E68" s="1223">
        <v>2001</v>
      </c>
      <c r="F68" s="1224" t="s">
        <v>1544</v>
      </c>
      <c r="G68" s="1225" t="s">
        <v>1442</v>
      </c>
      <c r="H68" s="1219">
        <v>1</v>
      </c>
      <c r="I68" s="1226" t="str">
        <f t="shared" si="4"/>
        <v xml:space="preserve"> </v>
      </c>
      <c r="J68" s="1227" t="str">
        <f t="shared" si="2"/>
        <v xml:space="preserve"> </v>
      </c>
      <c r="K68" s="674" t="str">
        <f t="shared" si="3"/>
        <v xml:space="preserve"> </v>
      </c>
    </row>
    <row r="69" spans="1:11" ht="24.95" customHeight="1">
      <c r="A69" s="1219">
        <v>2</v>
      </c>
      <c r="B69" s="1220" t="s">
        <v>14</v>
      </c>
      <c r="C69" s="1221" t="s">
        <v>1490</v>
      </c>
      <c r="D69" s="1222"/>
      <c r="E69" s="1223">
        <v>2005</v>
      </c>
      <c r="F69" s="1224" t="s">
        <v>553</v>
      </c>
      <c r="G69" s="1225" t="s">
        <v>1450</v>
      </c>
      <c r="H69" s="1219">
        <v>2</v>
      </c>
      <c r="I69" s="1226" t="str">
        <f t="shared" si="4"/>
        <v xml:space="preserve"> </v>
      </c>
      <c r="J69" s="1227" t="str">
        <f t="shared" si="2"/>
        <v xml:space="preserve"> </v>
      </c>
      <c r="K69" s="674" t="str">
        <f t="shared" si="3"/>
        <v xml:space="preserve"> </v>
      </c>
    </row>
    <row r="70" spans="1:11" ht="24.95" customHeight="1">
      <c r="A70" s="1219">
        <v>3</v>
      </c>
      <c r="B70" s="1220" t="s">
        <v>1</v>
      </c>
      <c r="C70" s="1221" t="s">
        <v>1491</v>
      </c>
      <c r="D70" s="1222"/>
      <c r="E70" s="1223">
        <v>2005</v>
      </c>
      <c r="F70" s="1224" t="s">
        <v>1492</v>
      </c>
      <c r="G70" s="1225" t="s">
        <v>1450</v>
      </c>
      <c r="H70" s="1219">
        <v>3</v>
      </c>
      <c r="I70" s="1226" t="str">
        <f t="shared" si="4"/>
        <v xml:space="preserve"> </v>
      </c>
      <c r="J70" s="1227" t="str">
        <f t="shared" si="2"/>
        <v xml:space="preserve"> </v>
      </c>
      <c r="K70" s="674" t="str">
        <f t="shared" si="3"/>
        <v xml:space="preserve"> </v>
      </c>
    </row>
    <row r="71" spans="1:11" ht="24.95" customHeight="1">
      <c r="A71" s="1219">
        <v>4</v>
      </c>
      <c r="B71" s="1220" t="s">
        <v>1</v>
      </c>
      <c r="C71" s="1221" t="s">
        <v>1412</v>
      </c>
      <c r="D71" s="1222"/>
      <c r="E71" s="1223">
        <v>2006</v>
      </c>
      <c r="F71" s="1224" t="s">
        <v>1372</v>
      </c>
      <c r="G71" s="1225" t="s">
        <v>1450</v>
      </c>
      <c r="H71" s="1219">
        <v>4</v>
      </c>
      <c r="I71" s="1226" t="str">
        <f t="shared" si="4"/>
        <v xml:space="preserve"> </v>
      </c>
      <c r="J71" s="1227" t="str">
        <f t="shared" si="2"/>
        <v xml:space="preserve"> </v>
      </c>
      <c r="K71" s="674" t="str">
        <f t="shared" si="3"/>
        <v xml:space="preserve"> </v>
      </c>
    </row>
    <row r="72" spans="1:11" ht="24.95" customHeight="1">
      <c r="A72" s="1219">
        <v>5</v>
      </c>
      <c r="B72" s="1220" t="s">
        <v>1</v>
      </c>
      <c r="C72" s="1221" t="s">
        <v>1364</v>
      </c>
      <c r="D72" s="1222"/>
      <c r="E72" s="1223">
        <v>2000</v>
      </c>
      <c r="F72" s="1224" t="s">
        <v>1433</v>
      </c>
      <c r="G72" s="1225" t="s">
        <v>1447</v>
      </c>
      <c r="H72" s="1219">
        <v>5</v>
      </c>
      <c r="I72" s="1226" t="str">
        <f t="shared" si="4"/>
        <v xml:space="preserve"> </v>
      </c>
      <c r="J72" s="1227" t="str">
        <f t="shared" si="2"/>
        <v xml:space="preserve"> </v>
      </c>
      <c r="K72" s="674" t="str">
        <f t="shared" si="3"/>
        <v xml:space="preserve"> </v>
      </c>
    </row>
    <row r="73" spans="1:11" ht="24.95" customHeight="1">
      <c r="A73" s="1219">
        <v>6</v>
      </c>
      <c r="B73" s="1220" t="s">
        <v>29</v>
      </c>
      <c r="C73" s="1221" t="s">
        <v>1422</v>
      </c>
      <c r="D73" s="1222"/>
      <c r="E73" s="1223">
        <v>2004</v>
      </c>
      <c r="F73" s="1224" t="s">
        <v>1448</v>
      </c>
      <c r="G73" s="1225" t="s">
        <v>1450</v>
      </c>
      <c r="H73" s="1219">
        <v>6</v>
      </c>
      <c r="I73" s="1226" t="str">
        <f t="shared" si="4"/>
        <v xml:space="preserve"> </v>
      </c>
      <c r="J73" s="1227" t="str">
        <f t="shared" si="2"/>
        <v xml:space="preserve"> </v>
      </c>
      <c r="K73" s="674" t="str">
        <f t="shared" si="3"/>
        <v xml:space="preserve"> </v>
      </c>
    </row>
    <row r="74" spans="1:11" ht="24.95" customHeight="1">
      <c r="A74" s="1219">
        <v>7</v>
      </c>
      <c r="B74" s="1220" t="s">
        <v>29</v>
      </c>
      <c r="C74" s="1221" t="s">
        <v>1366</v>
      </c>
      <c r="D74" s="1222"/>
      <c r="E74" s="1223">
        <v>2006</v>
      </c>
      <c r="F74" s="1224" t="s">
        <v>553</v>
      </c>
      <c r="G74" s="1225" t="s">
        <v>1450</v>
      </c>
      <c r="H74" s="1219">
        <v>7</v>
      </c>
      <c r="I74" s="1226" t="str">
        <f t="shared" si="4"/>
        <v xml:space="preserve"> </v>
      </c>
      <c r="J74" s="1227" t="str">
        <f t="shared" si="2"/>
        <v xml:space="preserve"> </v>
      </c>
      <c r="K74" s="674" t="str">
        <f t="shared" si="3"/>
        <v xml:space="preserve"> </v>
      </c>
    </row>
    <row r="75" spans="1:11" ht="24.95" customHeight="1">
      <c r="A75" s="1219">
        <v>8</v>
      </c>
      <c r="B75" s="1220" t="s">
        <v>15</v>
      </c>
      <c r="C75" s="1221" t="s">
        <v>1546</v>
      </c>
      <c r="D75" s="1222"/>
      <c r="E75" s="1223">
        <v>2001</v>
      </c>
      <c r="F75" s="1224" t="s">
        <v>1544</v>
      </c>
      <c r="G75" s="1225" t="s">
        <v>1442</v>
      </c>
      <c r="H75" s="1219">
        <v>8</v>
      </c>
      <c r="I75" s="1226" t="str">
        <f t="shared" si="4"/>
        <v xml:space="preserve"> </v>
      </c>
      <c r="J75" s="1227" t="str">
        <f t="shared" si="2"/>
        <v xml:space="preserve"> </v>
      </c>
      <c r="K75" s="674" t="str">
        <f t="shared" si="3"/>
        <v xml:space="preserve"> </v>
      </c>
    </row>
    <row r="76" spans="1:11" ht="24.95" customHeight="1">
      <c r="A76" s="1219"/>
      <c r="B76" s="1220"/>
      <c r="C76" s="1221"/>
      <c r="D76" s="1222"/>
      <c r="E76" s="1223"/>
      <c r="F76" s="1224"/>
      <c r="G76" s="1225"/>
      <c r="H76" s="1219"/>
      <c r="I76" s="1226" t="str">
        <f t="shared" si="4"/>
        <v xml:space="preserve"> </v>
      </c>
      <c r="J76" s="1227" t="str">
        <f t="shared" si="2"/>
        <v xml:space="preserve"> </v>
      </c>
      <c r="K76" s="674" t="str">
        <f t="shared" si="3"/>
        <v xml:space="preserve"> </v>
      </c>
    </row>
    <row r="77" spans="1:11" ht="24.95" customHeight="1">
      <c r="A77" s="1219"/>
      <c r="B77" s="1220"/>
      <c r="C77" s="1221"/>
      <c r="D77" s="1222"/>
      <c r="E77" s="1223" t="s">
        <v>1368</v>
      </c>
      <c r="F77" s="1224"/>
      <c r="G77" s="1225"/>
      <c r="H77" s="1219"/>
      <c r="I77" s="1226" t="str">
        <f t="shared" si="4"/>
        <v xml:space="preserve"> </v>
      </c>
      <c r="J77" s="1227" t="str">
        <f t="shared" si="2"/>
        <v xml:space="preserve"> </v>
      </c>
      <c r="K77" s="674" t="str">
        <f t="shared" si="3"/>
        <v xml:space="preserve"> </v>
      </c>
    </row>
    <row r="78" spans="1:11" ht="24.95" customHeight="1">
      <c r="A78" s="1219"/>
      <c r="B78" s="1220"/>
      <c r="C78" s="1221"/>
      <c r="D78" s="1222"/>
      <c r="E78" s="1223"/>
      <c r="F78" s="1224"/>
      <c r="G78" s="1225"/>
      <c r="H78" s="1219"/>
      <c r="I78" s="1226" t="str">
        <f t="shared" si="4"/>
        <v xml:space="preserve"> </v>
      </c>
      <c r="J78" s="1227" t="str">
        <f t="shared" si="2"/>
        <v xml:space="preserve"> </v>
      </c>
      <c r="K78" s="674" t="str">
        <f t="shared" si="3"/>
        <v xml:space="preserve"> </v>
      </c>
    </row>
    <row r="79" spans="1:11" ht="24.95" customHeight="1">
      <c r="A79" s="1219">
        <v>1</v>
      </c>
      <c r="B79" s="1220" t="s">
        <v>29</v>
      </c>
      <c r="C79" s="1221" t="s">
        <v>1539</v>
      </c>
      <c r="D79" s="1222"/>
      <c r="E79" s="1223">
        <v>2003</v>
      </c>
      <c r="F79" s="1224" t="s">
        <v>1433</v>
      </c>
      <c r="G79" s="1225" t="s">
        <v>1442</v>
      </c>
      <c r="H79" s="1219">
        <v>1</v>
      </c>
      <c r="I79" s="1226" t="str">
        <f t="shared" si="4"/>
        <v xml:space="preserve"> </v>
      </c>
      <c r="J79" s="1227" t="str">
        <f t="shared" si="2"/>
        <v xml:space="preserve"> </v>
      </c>
      <c r="K79" s="674" t="str">
        <f t="shared" si="3"/>
        <v xml:space="preserve"> </v>
      </c>
    </row>
    <row r="80" spans="1:11" ht="24.95" customHeight="1">
      <c r="A80" s="1219">
        <v>2</v>
      </c>
      <c r="B80" s="1220" t="s">
        <v>29</v>
      </c>
      <c r="C80" s="1221" t="s">
        <v>1414</v>
      </c>
      <c r="D80" s="1222"/>
      <c r="E80" s="1223">
        <v>2001</v>
      </c>
      <c r="F80" s="1224" t="s">
        <v>1433</v>
      </c>
      <c r="G80" s="1225" t="s">
        <v>1447</v>
      </c>
      <c r="H80" s="1219">
        <v>2</v>
      </c>
      <c r="I80" s="1226" t="str">
        <f t="shared" si="4"/>
        <v xml:space="preserve"> </v>
      </c>
      <c r="J80" s="1227" t="str">
        <f t="shared" si="2"/>
        <v xml:space="preserve"> </v>
      </c>
      <c r="K80" s="674" t="str">
        <f t="shared" si="3"/>
        <v xml:space="preserve"> </v>
      </c>
    </row>
    <row r="81" spans="1:11" ht="24.95" customHeight="1">
      <c r="A81" s="1219">
        <v>3</v>
      </c>
      <c r="B81" s="1220" t="s">
        <v>1</v>
      </c>
      <c r="C81" s="1221" t="s">
        <v>1480</v>
      </c>
      <c r="D81" s="1222"/>
      <c r="E81" s="1223">
        <v>2002</v>
      </c>
      <c r="F81" s="1224" t="s">
        <v>1443</v>
      </c>
      <c r="G81" s="1225" t="s">
        <v>1465</v>
      </c>
      <c r="H81" s="1219">
        <v>3</v>
      </c>
      <c r="I81" s="1226" t="str">
        <f t="shared" si="4"/>
        <v xml:space="preserve"> </v>
      </c>
      <c r="J81" s="1227" t="str">
        <f t="shared" si="2"/>
        <v xml:space="preserve"> </v>
      </c>
      <c r="K81" s="674" t="str">
        <f t="shared" si="3"/>
        <v xml:space="preserve"> </v>
      </c>
    </row>
    <row r="82" spans="1:11" ht="24.95" customHeight="1">
      <c r="A82" s="1219">
        <v>4</v>
      </c>
      <c r="B82" s="1220" t="s">
        <v>27</v>
      </c>
      <c r="C82" s="1221" t="s">
        <v>1426</v>
      </c>
      <c r="D82" s="1222"/>
      <c r="E82" s="1223">
        <v>2000</v>
      </c>
      <c r="F82" s="1224" t="s">
        <v>1431</v>
      </c>
      <c r="G82" s="1225" t="s">
        <v>1447</v>
      </c>
      <c r="H82" s="1219">
        <v>4</v>
      </c>
      <c r="I82" s="1226" t="str">
        <f t="shared" si="4"/>
        <v xml:space="preserve"> </v>
      </c>
      <c r="J82" s="1227" t="str">
        <f t="shared" si="2"/>
        <v xml:space="preserve"> </v>
      </c>
      <c r="K82" s="674" t="str">
        <f t="shared" si="3"/>
        <v xml:space="preserve"> </v>
      </c>
    </row>
    <row r="83" spans="1:11" ht="24.95" customHeight="1">
      <c r="A83" s="1219">
        <v>5</v>
      </c>
      <c r="B83" s="1220" t="s">
        <v>1</v>
      </c>
      <c r="C83" s="1221" t="s">
        <v>1482</v>
      </c>
      <c r="D83" s="1222"/>
      <c r="E83" s="1223">
        <v>2003</v>
      </c>
      <c r="F83" s="1224" t="s">
        <v>1443</v>
      </c>
      <c r="G83" s="1225" t="s">
        <v>1465</v>
      </c>
      <c r="H83" s="1219">
        <v>5</v>
      </c>
      <c r="I83" s="1226" t="str">
        <f t="shared" si="4"/>
        <v xml:space="preserve"> </v>
      </c>
      <c r="J83" s="1227" t="str">
        <f t="shared" si="2"/>
        <v xml:space="preserve"> </v>
      </c>
      <c r="K83" s="674" t="str">
        <f t="shared" si="3"/>
        <v xml:space="preserve"> </v>
      </c>
    </row>
    <row r="84" spans="1:11" ht="24.95" customHeight="1">
      <c r="A84" s="1219">
        <v>6</v>
      </c>
      <c r="B84" s="1220" t="s">
        <v>29</v>
      </c>
      <c r="C84" s="1221" t="s">
        <v>1365</v>
      </c>
      <c r="D84" s="1222"/>
      <c r="E84" s="1223">
        <v>2006</v>
      </c>
      <c r="F84" s="1224" t="s">
        <v>553</v>
      </c>
      <c r="G84" s="1225" t="s">
        <v>1450</v>
      </c>
      <c r="H84" s="1219">
        <v>6</v>
      </c>
      <c r="I84" s="1226" t="str">
        <f t="shared" si="4"/>
        <v xml:space="preserve"> </v>
      </c>
      <c r="J84" s="1227" t="str">
        <f t="shared" si="2"/>
        <v xml:space="preserve"> </v>
      </c>
      <c r="K84" s="674" t="str">
        <f t="shared" si="3"/>
        <v xml:space="preserve"> </v>
      </c>
    </row>
    <row r="85" spans="1:11" ht="24.95" customHeight="1">
      <c r="A85" s="1219">
        <v>7</v>
      </c>
      <c r="B85" s="1220" t="s">
        <v>1</v>
      </c>
      <c r="C85" s="1221" t="s">
        <v>1540</v>
      </c>
      <c r="D85" s="1222"/>
      <c r="E85" s="1223">
        <v>2002</v>
      </c>
      <c r="F85" s="1224" t="s">
        <v>1433</v>
      </c>
      <c r="G85" s="1225" t="s">
        <v>1442</v>
      </c>
      <c r="H85" s="1219">
        <v>7</v>
      </c>
      <c r="I85" s="1226" t="str">
        <f t="shared" si="4"/>
        <v xml:space="preserve"> </v>
      </c>
      <c r="J85" s="1227" t="str">
        <f t="shared" si="2"/>
        <v xml:space="preserve"> </v>
      </c>
      <c r="K85" s="674" t="str">
        <f t="shared" si="3"/>
        <v xml:space="preserve"> </v>
      </c>
    </row>
    <row r="86" spans="1:11" ht="24.95" customHeight="1">
      <c r="A86" s="1219">
        <v>8</v>
      </c>
      <c r="B86" s="1220"/>
      <c r="C86" s="1221"/>
      <c r="D86" s="1222"/>
      <c r="E86" s="1223"/>
      <c r="F86" s="1224"/>
      <c r="G86" s="1225"/>
      <c r="H86" s="1219">
        <v>8</v>
      </c>
      <c r="I86" s="1226" t="str">
        <f t="shared" si="4"/>
        <v xml:space="preserve"> </v>
      </c>
      <c r="J86" s="1227" t="str">
        <f t="shared" si="2"/>
        <v xml:space="preserve"> </v>
      </c>
      <c r="K86" s="674" t="str">
        <f t="shared" si="3"/>
        <v xml:space="preserve"> </v>
      </c>
    </row>
    <row r="87" spans="1:11" ht="24.95" customHeight="1">
      <c r="A87" s="1219"/>
      <c r="B87" s="1220"/>
      <c r="C87" s="1221"/>
      <c r="D87" s="1222"/>
      <c r="E87" s="1223" t="s">
        <v>1369</v>
      </c>
      <c r="F87" s="1224"/>
      <c r="G87" s="1225"/>
      <c r="H87" s="1219"/>
      <c r="I87" s="1226" t="str">
        <f t="shared" si="4"/>
        <v xml:space="preserve"> </v>
      </c>
      <c r="J87" s="1227" t="str">
        <f t="shared" si="2"/>
        <v xml:space="preserve"> </v>
      </c>
      <c r="K87" s="674" t="str">
        <f t="shared" si="3"/>
        <v xml:space="preserve"> </v>
      </c>
    </row>
    <row r="88" spans="1:11" ht="24.95" customHeight="1">
      <c r="A88" s="1219"/>
      <c r="B88" s="1220"/>
      <c r="C88" s="1221"/>
      <c r="D88" s="1222"/>
      <c r="E88" s="1223"/>
      <c r="F88" s="1224"/>
      <c r="G88" s="1225"/>
      <c r="H88" s="1219"/>
      <c r="I88" s="1226" t="str">
        <f t="shared" si="4"/>
        <v xml:space="preserve"> </v>
      </c>
      <c r="J88" s="1227" t="str">
        <f t="shared" si="2"/>
        <v xml:space="preserve"> </v>
      </c>
      <c r="K88" s="674" t="str">
        <f t="shared" si="3"/>
        <v xml:space="preserve"> </v>
      </c>
    </row>
    <row r="89" spans="1:11" ht="24.95" customHeight="1">
      <c r="A89" s="1219">
        <v>1</v>
      </c>
      <c r="B89" s="1220" t="s">
        <v>15</v>
      </c>
      <c r="C89" s="1221" t="s">
        <v>1476</v>
      </c>
      <c r="D89" s="1222"/>
      <c r="E89" s="1223">
        <v>2001</v>
      </c>
      <c r="F89" s="1224" t="s">
        <v>1452</v>
      </c>
      <c r="G89" s="1225" t="s">
        <v>1465</v>
      </c>
      <c r="H89" s="1219">
        <v>1</v>
      </c>
      <c r="I89" s="1226" t="str">
        <f t="shared" si="4"/>
        <v xml:space="preserve"> </v>
      </c>
      <c r="J89" s="1227" t="str">
        <f t="shared" si="2"/>
        <v xml:space="preserve"> </v>
      </c>
      <c r="K89" s="674" t="str">
        <f t="shared" si="3"/>
        <v xml:space="preserve"> </v>
      </c>
    </row>
    <row r="90" spans="1:11" ht="24.95" customHeight="1">
      <c r="A90" s="1219">
        <v>2</v>
      </c>
      <c r="B90" s="1220" t="s">
        <v>29</v>
      </c>
      <c r="C90" s="1221" t="s">
        <v>1025</v>
      </c>
      <c r="D90" s="1222"/>
      <c r="E90" s="1223">
        <v>2006</v>
      </c>
      <c r="F90" s="1224" t="s">
        <v>1445</v>
      </c>
      <c r="G90" s="1225" t="s">
        <v>1450</v>
      </c>
      <c r="H90" s="1219">
        <v>2</v>
      </c>
      <c r="I90" s="1226" t="str">
        <f t="shared" si="4"/>
        <v xml:space="preserve"> </v>
      </c>
      <c r="J90" s="1227" t="str">
        <f t="shared" si="2"/>
        <v xml:space="preserve"> </v>
      </c>
      <c r="K90" s="674" t="str">
        <f t="shared" si="3"/>
        <v xml:space="preserve"> </v>
      </c>
    </row>
    <row r="91" spans="1:11" ht="24.95" customHeight="1">
      <c r="A91" s="1219">
        <v>3</v>
      </c>
      <c r="B91" s="1220" t="s">
        <v>29</v>
      </c>
      <c r="C91" s="1221" t="s">
        <v>1488</v>
      </c>
      <c r="D91" s="1222"/>
      <c r="E91" s="1223">
        <v>2005</v>
      </c>
      <c r="F91" s="1224" t="s">
        <v>553</v>
      </c>
      <c r="G91" s="1225" t="s">
        <v>1450</v>
      </c>
      <c r="H91" s="1219">
        <v>3</v>
      </c>
      <c r="I91" s="1226" t="str">
        <f t="shared" si="4"/>
        <v xml:space="preserve"> </v>
      </c>
      <c r="J91" s="1227" t="str">
        <f t="shared" si="2"/>
        <v xml:space="preserve"> </v>
      </c>
      <c r="K91" s="674" t="str">
        <f t="shared" si="3"/>
        <v xml:space="preserve"> </v>
      </c>
    </row>
    <row r="92" spans="1:11" ht="24.95" customHeight="1">
      <c r="A92" s="1219">
        <v>4</v>
      </c>
      <c r="B92" s="1220" t="s">
        <v>29</v>
      </c>
      <c r="C92" s="1221" t="s">
        <v>1363</v>
      </c>
      <c r="D92" s="1222"/>
      <c r="E92" s="1223">
        <v>2005</v>
      </c>
      <c r="F92" s="1224" t="s">
        <v>553</v>
      </c>
      <c r="G92" s="1225" t="s">
        <v>1450</v>
      </c>
      <c r="H92" s="1219">
        <v>4</v>
      </c>
      <c r="I92" s="1226" t="str">
        <f t="shared" ref="I92:I155" si="5">IF($D92="Заплыв №","РЕЗУЛЬТАТ"," ")</f>
        <v xml:space="preserve"> </v>
      </c>
      <c r="J92" s="1227" t="str">
        <f t="shared" ref="J92:J155" si="6">IF($D92="Заплыв №","ФИНИШ"," ")</f>
        <v xml:space="preserve"> </v>
      </c>
      <c r="K92" s="674" t="str">
        <f t="shared" ref="K92:K155" si="7">IF($D92="Заплыв №","ПРИМ."," ")</f>
        <v xml:space="preserve"> </v>
      </c>
    </row>
    <row r="93" spans="1:11" ht="24.95" customHeight="1">
      <c r="A93" s="1219">
        <v>5</v>
      </c>
      <c r="B93" s="1220" t="s">
        <v>25</v>
      </c>
      <c r="C93" s="1221" t="s">
        <v>1486</v>
      </c>
      <c r="D93" s="1222"/>
      <c r="E93" s="1223">
        <v>1997</v>
      </c>
      <c r="F93" s="1224" t="s">
        <v>1463</v>
      </c>
      <c r="G93" s="1225" t="s">
        <v>1465</v>
      </c>
      <c r="H93" s="1219">
        <v>5</v>
      </c>
      <c r="I93" s="1226" t="str">
        <f t="shared" si="5"/>
        <v xml:space="preserve"> </v>
      </c>
      <c r="J93" s="1227" t="str">
        <f t="shared" si="6"/>
        <v xml:space="preserve"> </v>
      </c>
      <c r="K93" s="674" t="str">
        <f t="shared" si="7"/>
        <v xml:space="preserve"> </v>
      </c>
    </row>
    <row r="94" spans="1:11" ht="24.95" customHeight="1">
      <c r="A94" s="1219">
        <v>6</v>
      </c>
      <c r="B94" s="1220" t="s">
        <v>27</v>
      </c>
      <c r="C94" s="1221" t="s">
        <v>1487</v>
      </c>
      <c r="D94" s="1222"/>
      <c r="E94" s="1223">
        <v>2003</v>
      </c>
      <c r="F94" s="1224" t="s">
        <v>1438</v>
      </c>
      <c r="G94" s="1225" t="s">
        <v>1465</v>
      </c>
      <c r="H94" s="1219">
        <v>6</v>
      </c>
      <c r="I94" s="1226" t="str">
        <f t="shared" si="5"/>
        <v xml:space="preserve"> </v>
      </c>
      <c r="J94" s="1227" t="str">
        <f t="shared" si="6"/>
        <v xml:space="preserve"> </v>
      </c>
      <c r="K94" s="674" t="str">
        <f t="shared" si="7"/>
        <v xml:space="preserve"> </v>
      </c>
    </row>
    <row r="95" spans="1:11" ht="24.95" customHeight="1">
      <c r="A95" s="1219">
        <v>7</v>
      </c>
      <c r="B95" s="1220" t="s">
        <v>29</v>
      </c>
      <c r="C95" s="1221" t="s">
        <v>1483</v>
      </c>
      <c r="D95" s="1222"/>
      <c r="E95" s="1223">
        <v>2003</v>
      </c>
      <c r="F95" s="1224" t="s">
        <v>1443</v>
      </c>
      <c r="G95" s="1225" t="s">
        <v>1465</v>
      </c>
      <c r="H95" s="1219">
        <v>7</v>
      </c>
      <c r="I95" s="1226" t="str">
        <f t="shared" si="5"/>
        <v xml:space="preserve"> </v>
      </c>
      <c r="J95" s="1227" t="str">
        <f t="shared" si="6"/>
        <v xml:space="preserve"> </v>
      </c>
      <c r="K95" s="674" t="str">
        <f t="shared" si="7"/>
        <v xml:space="preserve"> </v>
      </c>
    </row>
    <row r="96" spans="1:11" ht="24.95" customHeight="1">
      <c r="A96" s="1219">
        <v>8</v>
      </c>
      <c r="B96" s="1220" t="s">
        <v>29</v>
      </c>
      <c r="C96" s="1221" t="s">
        <v>1362</v>
      </c>
      <c r="D96" s="1222"/>
      <c r="E96" s="1223">
        <v>2004</v>
      </c>
      <c r="F96" s="1224" t="s">
        <v>1360</v>
      </c>
      <c r="G96" s="1225" t="s">
        <v>1450</v>
      </c>
      <c r="H96" s="1219">
        <v>8</v>
      </c>
      <c r="I96" s="1226" t="str">
        <f t="shared" si="5"/>
        <v xml:space="preserve"> </v>
      </c>
      <c r="J96" s="1227" t="str">
        <f t="shared" si="6"/>
        <v xml:space="preserve"> </v>
      </c>
      <c r="K96" s="674" t="str">
        <f t="shared" si="7"/>
        <v xml:space="preserve"> </v>
      </c>
    </row>
    <row r="97" spans="1:11" ht="24.95" customHeight="1">
      <c r="A97" s="1219"/>
      <c r="B97" s="1220"/>
      <c r="C97" s="1221"/>
      <c r="D97" s="1222"/>
      <c r="E97" s="1223"/>
      <c r="F97" s="1224"/>
      <c r="G97" s="1225"/>
      <c r="H97" s="1219"/>
      <c r="I97" s="1226" t="str">
        <f t="shared" si="5"/>
        <v xml:space="preserve"> </v>
      </c>
      <c r="J97" s="1227" t="str">
        <f t="shared" si="6"/>
        <v xml:space="preserve"> </v>
      </c>
      <c r="K97" s="674" t="str">
        <f t="shared" si="7"/>
        <v xml:space="preserve"> </v>
      </c>
    </row>
    <row r="98" spans="1:11" ht="24.95" customHeight="1">
      <c r="A98" s="1219"/>
      <c r="B98" s="1220"/>
      <c r="C98" s="1221"/>
      <c r="D98" s="1222"/>
      <c r="E98" s="1223" t="s">
        <v>1370</v>
      </c>
      <c r="F98" s="1224"/>
      <c r="G98" s="1225"/>
      <c r="H98" s="1219"/>
      <c r="I98" s="1226" t="str">
        <f t="shared" si="5"/>
        <v xml:space="preserve"> </v>
      </c>
      <c r="J98" s="1227" t="str">
        <f t="shared" si="6"/>
        <v xml:space="preserve"> </v>
      </c>
      <c r="K98" s="674" t="str">
        <f t="shared" si="7"/>
        <v xml:space="preserve"> </v>
      </c>
    </row>
    <row r="99" spans="1:11" ht="24.95" customHeight="1">
      <c r="A99" s="1219">
        <v>1</v>
      </c>
      <c r="B99" s="1220"/>
      <c r="C99" s="1221"/>
      <c r="D99" s="1222"/>
      <c r="E99" s="1223"/>
      <c r="F99" s="1224"/>
      <c r="G99" s="1225"/>
      <c r="H99" s="1219">
        <v>1</v>
      </c>
      <c r="I99" s="1226" t="str">
        <f t="shared" si="5"/>
        <v xml:space="preserve"> </v>
      </c>
      <c r="J99" s="1227" t="str">
        <f t="shared" si="6"/>
        <v xml:space="preserve"> </v>
      </c>
      <c r="K99" s="674" t="str">
        <f t="shared" si="7"/>
        <v xml:space="preserve"> </v>
      </c>
    </row>
    <row r="100" spans="1:11" ht="24.95" customHeight="1">
      <c r="A100" s="1219">
        <v>2</v>
      </c>
      <c r="B100" s="1220" t="s">
        <v>27</v>
      </c>
      <c r="C100" s="1221" t="s">
        <v>1481</v>
      </c>
      <c r="D100" s="1222"/>
      <c r="E100" s="1223">
        <v>2003</v>
      </c>
      <c r="F100" s="1224" t="s">
        <v>1443</v>
      </c>
      <c r="G100" s="1225" t="s">
        <v>1465</v>
      </c>
      <c r="H100" s="1219">
        <v>2</v>
      </c>
      <c r="I100" s="1226" t="str">
        <f t="shared" si="5"/>
        <v xml:space="preserve"> </v>
      </c>
      <c r="J100" s="1227" t="str">
        <f t="shared" si="6"/>
        <v xml:space="preserve"> </v>
      </c>
      <c r="K100" s="674" t="str">
        <f t="shared" si="7"/>
        <v xml:space="preserve"> </v>
      </c>
    </row>
    <row r="101" spans="1:11" ht="24.95" customHeight="1">
      <c r="A101" s="1219">
        <v>3</v>
      </c>
      <c r="B101" s="1220" t="s">
        <v>27</v>
      </c>
      <c r="C101" s="1221" t="s">
        <v>1478</v>
      </c>
      <c r="D101" s="1222"/>
      <c r="E101" s="1223">
        <v>2001</v>
      </c>
      <c r="F101" s="1224" t="s">
        <v>1477</v>
      </c>
      <c r="G101" s="1225" t="s">
        <v>1465</v>
      </c>
      <c r="H101" s="1219">
        <v>3</v>
      </c>
      <c r="I101" s="1226" t="str">
        <f t="shared" si="5"/>
        <v xml:space="preserve"> </v>
      </c>
      <c r="J101" s="1227" t="str">
        <f t="shared" si="6"/>
        <v xml:space="preserve"> </v>
      </c>
      <c r="K101" s="674" t="str">
        <f t="shared" si="7"/>
        <v xml:space="preserve"> </v>
      </c>
    </row>
    <row r="102" spans="1:11" ht="24.95" customHeight="1">
      <c r="A102" s="1219">
        <v>4</v>
      </c>
      <c r="B102" s="1220" t="s">
        <v>27</v>
      </c>
      <c r="C102" s="1221" t="s">
        <v>1423</v>
      </c>
      <c r="D102" s="1222"/>
      <c r="E102" s="1223">
        <v>2002</v>
      </c>
      <c r="F102" s="1224" t="s">
        <v>1431</v>
      </c>
      <c r="G102" s="1225" t="s">
        <v>1447</v>
      </c>
      <c r="H102" s="1219">
        <v>4</v>
      </c>
      <c r="I102" s="1226" t="str">
        <f t="shared" si="5"/>
        <v xml:space="preserve"> </v>
      </c>
      <c r="J102" s="1227" t="str">
        <f t="shared" si="6"/>
        <v xml:space="preserve"> </v>
      </c>
      <c r="K102" s="674" t="str">
        <f t="shared" si="7"/>
        <v xml:space="preserve"> </v>
      </c>
    </row>
    <row r="103" spans="1:11" ht="24.95" customHeight="1">
      <c r="A103" s="1219">
        <v>5</v>
      </c>
      <c r="B103" s="1220" t="s">
        <v>29</v>
      </c>
      <c r="C103" s="1221" t="s">
        <v>1493</v>
      </c>
      <c r="D103" s="1222"/>
      <c r="E103" s="1223">
        <v>2003</v>
      </c>
      <c r="F103" s="1224" t="s">
        <v>1494</v>
      </c>
      <c r="G103" s="1225" t="s">
        <v>1450</v>
      </c>
      <c r="H103" s="1219">
        <v>5</v>
      </c>
      <c r="I103" s="1226" t="str">
        <f t="shared" si="5"/>
        <v xml:space="preserve"> </v>
      </c>
      <c r="J103" s="1227" t="str">
        <f t="shared" si="6"/>
        <v xml:space="preserve"> </v>
      </c>
      <c r="K103" s="674" t="str">
        <f t="shared" si="7"/>
        <v xml:space="preserve"> </v>
      </c>
    </row>
    <row r="104" spans="1:11" ht="24.95" customHeight="1">
      <c r="A104" s="1219">
        <v>6</v>
      </c>
      <c r="B104" s="1220" t="s">
        <v>25</v>
      </c>
      <c r="C104" s="1221" t="s">
        <v>580</v>
      </c>
      <c r="D104" s="1222"/>
      <c r="E104" s="1223">
        <v>1998</v>
      </c>
      <c r="F104" s="1224" t="s">
        <v>1431</v>
      </c>
      <c r="G104" s="1225" t="s">
        <v>1447</v>
      </c>
      <c r="H104" s="1219">
        <v>6</v>
      </c>
      <c r="I104" s="1226" t="str">
        <f t="shared" si="5"/>
        <v xml:space="preserve"> </v>
      </c>
      <c r="J104" s="1227" t="str">
        <f t="shared" si="6"/>
        <v xml:space="preserve"> </v>
      </c>
      <c r="K104" s="674" t="str">
        <f t="shared" si="7"/>
        <v xml:space="preserve"> </v>
      </c>
    </row>
    <row r="105" spans="1:11" ht="24.95" customHeight="1">
      <c r="A105" s="1219">
        <v>7</v>
      </c>
      <c r="B105" s="1220" t="s">
        <v>27</v>
      </c>
      <c r="C105" s="1221" t="s">
        <v>1479</v>
      </c>
      <c r="D105" s="1222"/>
      <c r="E105" s="1223">
        <v>2000</v>
      </c>
      <c r="F105" s="1224" t="s">
        <v>1477</v>
      </c>
      <c r="G105" s="1225" t="s">
        <v>1465</v>
      </c>
      <c r="H105" s="1219">
        <v>7</v>
      </c>
      <c r="I105" s="1226" t="str">
        <f t="shared" si="5"/>
        <v xml:space="preserve"> </v>
      </c>
      <c r="J105" s="1227" t="str">
        <f t="shared" si="6"/>
        <v xml:space="preserve"> </v>
      </c>
      <c r="K105" s="674" t="str">
        <f t="shared" si="7"/>
        <v xml:space="preserve"> </v>
      </c>
    </row>
    <row r="106" spans="1:11" ht="24.95" customHeight="1">
      <c r="A106" s="1219">
        <v>8</v>
      </c>
      <c r="B106" s="1220"/>
      <c r="C106" s="1221"/>
      <c r="D106" s="1222"/>
      <c r="E106" s="1223"/>
      <c r="F106" s="1224"/>
      <c r="G106" s="1225"/>
      <c r="H106" s="1219">
        <v>8</v>
      </c>
      <c r="I106" s="1226" t="str">
        <f t="shared" si="5"/>
        <v xml:space="preserve"> </v>
      </c>
      <c r="J106" s="1227" t="str">
        <f t="shared" si="6"/>
        <v xml:space="preserve"> </v>
      </c>
      <c r="K106" s="674" t="str">
        <f t="shared" si="7"/>
        <v xml:space="preserve"> </v>
      </c>
    </row>
    <row r="107" spans="1:11" ht="24.95" customHeight="1">
      <c r="A107" s="1219"/>
      <c r="B107" s="1220"/>
      <c r="C107" s="1221"/>
      <c r="D107" s="1222"/>
      <c r="E107" s="1223" t="s">
        <v>1371</v>
      </c>
      <c r="F107" s="1224"/>
      <c r="G107" s="1225"/>
      <c r="H107" s="1219"/>
      <c r="I107" s="1226" t="str">
        <f t="shared" si="5"/>
        <v xml:space="preserve"> </v>
      </c>
      <c r="J107" s="1227" t="str">
        <f t="shared" si="6"/>
        <v xml:space="preserve"> </v>
      </c>
      <c r="K107" s="674" t="str">
        <f t="shared" si="7"/>
        <v xml:space="preserve"> </v>
      </c>
    </row>
    <row r="108" spans="1:11" ht="24.95" customHeight="1">
      <c r="A108" s="1219"/>
      <c r="B108" s="1220"/>
      <c r="C108" s="1221"/>
      <c r="D108" s="1222"/>
      <c r="E108" s="1223"/>
      <c r="F108" s="1224"/>
      <c r="G108" s="1225"/>
      <c r="H108" s="1219"/>
      <c r="I108" s="1226" t="str">
        <f t="shared" si="5"/>
        <v xml:space="preserve"> </v>
      </c>
      <c r="J108" s="1227" t="str">
        <f t="shared" si="6"/>
        <v xml:space="preserve"> </v>
      </c>
      <c r="K108" s="674" t="str">
        <f t="shared" si="7"/>
        <v xml:space="preserve"> </v>
      </c>
    </row>
    <row r="109" spans="1:11" ht="24.95" customHeight="1">
      <c r="A109" s="1219">
        <v>1</v>
      </c>
      <c r="B109" s="1220" t="s">
        <v>27</v>
      </c>
      <c r="C109" s="1221" t="s">
        <v>1361</v>
      </c>
      <c r="D109" s="1222"/>
      <c r="E109" s="1223">
        <v>2004</v>
      </c>
      <c r="F109" s="1224" t="s">
        <v>1360</v>
      </c>
      <c r="G109" s="1225" t="s">
        <v>1450</v>
      </c>
      <c r="H109" s="1219">
        <v>1</v>
      </c>
      <c r="I109" s="1226" t="str">
        <f t="shared" si="5"/>
        <v xml:space="preserve"> </v>
      </c>
      <c r="J109" s="1227" t="str">
        <f t="shared" si="6"/>
        <v xml:space="preserve"> </v>
      </c>
      <c r="K109" s="674" t="str">
        <f t="shared" si="7"/>
        <v xml:space="preserve"> </v>
      </c>
    </row>
    <row r="110" spans="1:11" ht="24.95" customHeight="1">
      <c r="A110" s="1219">
        <v>2</v>
      </c>
      <c r="B110" s="1220" t="s">
        <v>29</v>
      </c>
      <c r="C110" s="1221" t="s">
        <v>1404</v>
      </c>
      <c r="D110" s="1222"/>
      <c r="E110" s="1223">
        <v>2005</v>
      </c>
      <c r="F110" s="1224" t="s">
        <v>553</v>
      </c>
      <c r="G110" s="1225" t="s">
        <v>1450</v>
      </c>
      <c r="H110" s="1219">
        <v>2</v>
      </c>
      <c r="I110" s="1226" t="str">
        <f t="shared" si="5"/>
        <v xml:space="preserve"> </v>
      </c>
      <c r="J110" s="1227" t="str">
        <f t="shared" si="6"/>
        <v xml:space="preserve"> </v>
      </c>
      <c r="K110" s="674" t="str">
        <f t="shared" si="7"/>
        <v xml:space="preserve"> </v>
      </c>
    </row>
    <row r="111" spans="1:11" ht="24.95" customHeight="1">
      <c r="A111" s="1219">
        <v>3</v>
      </c>
      <c r="B111" s="1220" t="s">
        <v>27</v>
      </c>
      <c r="C111" s="1221" t="s">
        <v>1359</v>
      </c>
      <c r="D111" s="1222"/>
      <c r="E111" s="1223">
        <v>2003</v>
      </c>
      <c r="F111" s="1224" t="s">
        <v>1431</v>
      </c>
      <c r="G111" s="1225" t="s">
        <v>1447</v>
      </c>
      <c r="H111" s="1219">
        <v>3</v>
      </c>
      <c r="I111" s="1226" t="str">
        <f t="shared" si="5"/>
        <v xml:space="preserve"> </v>
      </c>
      <c r="J111" s="1227" t="str">
        <f t="shared" si="6"/>
        <v xml:space="preserve"> </v>
      </c>
      <c r="K111" s="674" t="str">
        <f t="shared" si="7"/>
        <v xml:space="preserve"> </v>
      </c>
    </row>
    <row r="112" spans="1:11" ht="24.95" customHeight="1">
      <c r="A112" s="1219">
        <v>4</v>
      </c>
      <c r="B112" s="1220" t="s">
        <v>25</v>
      </c>
      <c r="C112" s="1221" t="s">
        <v>654</v>
      </c>
      <c r="D112" s="1222"/>
      <c r="E112" s="1223">
        <v>1999</v>
      </c>
      <c r="F112" s="1224" t="s">
        <v>1431</v>
      </c>
      <c r="G112" s="1225" t="s">
        <v>1447</v>
      </c>
      <c r="H112" s="1219">
        <v>4</v>
      </c>
      <c r="I112" s="1226" t="str">
        <f t="shared" si="5"/>
        <v xml:space="preserve"> </v>
      </c>
      <c r="J112" s="1227" t="str">
        <f t="shared" si="6"/>
        <v xml:space="preserve"> </v>
      </c>
      <c r="K112" s="674" t="str">
        <f t="shared" si="7"/>
        <v xml:space="preserve"> </v>
      </c>
    </row>
    <row r="113" spans="1:11" ht="24.95" customHeight="1">
      <c r="A113" s="1219">
        <v>5</v>
      </c>
      <c r="B113" s="1220" t="s">
        <v>27</v>
      </c>
      <c r="C113" s="1221" t="s">
        <v>1347</v>
      </c>
      <c r="D113" s="1222"/>
      <c r="E113" s="1223">
        <v>2003</v>
      </c>
      <c r="F113" s="1224" t="s">
        <v>1430</v>
      </c>
      <c r="G113" s="1225" t="s">
        <v>1447</v>
      </c>
      <c r="H113" s="1219">
        <v>5</v>
      </c>
      <c r="I113" s="1226" t="str">
        <f t="shared" si="5"/>
        <v xml:space="preserve"> </v>
      </c>
      <c r="J113" s="1227" t="str">
        <f t="shared" si="6"/>
        <v xml:space="preserve"> </v>
      </c>
      <c r="K113" s="674" t="str">
        <f t="shared" si="7"/>
        <v xml:space="preserve"> </v>
      </c>
    </row>
    <row r="114" spans="1:11" ht="24.95" customHeight="1">
      <c r="A114" s="1219">
        <v>6</v>
      </c>
      <c r="B114" s="1220" t="s">
        <v>27</v>
      </c>
      <c r="C114" s="1221" t="s">
        <v>995</v>
      </c>
      <c r="D114" s="1222"/>
      <c r="E114" s="1223">
        <v>2005</v>
      </c>
      <c r="F114" s="1224" t="s">
        <v>1424</v>
      </c>
      <c r="G114" s="1225" t="s">
        <v>1450</v>
      </c>
      <c r="H114" s="1219">
        <v>6</v>
      </c>
      <c r="I114" s="1226" t="str">
        <f t="shared" si="5"/>
        <v xml:space="preserve"> </v>
      </c>
      <c r="J114" s="1227" t="str">
        <f t="shared" si="6"/>
        <v xml:space="preserve"> </v>
      </c>
      <c r="K114" s="674" t="str">
        <f t="shared" si="7"/>
        <v xml:space="preserve"> </v>
      </c>
    </row>
    <row r="115" spans="1:11" ht="24.95" customHeight="1">
      <c r="A115" s="1219">
        <v>7</v>
      </c>
      <c r="B115" s="1220" t="s">
        <v>27</v>
      </c>
      <c r="C115" s="1221" t="s">
        <v>1489</v>
      </c>
      <c r="D115" s="1222"/>
      <c r="E115" s="1223">
        <v>2005</v>
      </c>
      <c r="F115" s="1224" t="s">
        <v>553</v>
      </c>
      <c r="G115" s="1225" t="s">
        <v>1450</v>
      </c>
      <c r="H115" s="1219">
        <v>7</v>
      </c>
      <c r="I115" s="1226" t="str">
        <f t="shared" si="5"/>
        <v xml:space="preserve"> </v>
      </c>
      <c r="J115" s="1227" t="str">
        <f t="shared" si="6"/>
        <v xml:space="preserve"> </v>
      </c>
      <c r="K115" s="674" t="str">
        <f t="shared" si="7"/>
        <v xml:space="preserve"> </v>
      </c>
    </row>
    <row r="116" spans="1:11" ht="24.95" customHeight="1">
      <c r="A116" s="1219">
        <v>8</v>
      </c>
      <c r="B116" s="1220" t="s">
        <v>27</v>
      </c>
      <c r="C116" s="1221" t="s">
        <v>1484</v>
      </c>
      <c r="D116" s="1222"/>
      <c r="E116" s="1223">
        <v>2001</v>
      </c>
      <c r="F116" s="1224" t="s">
        <v>1485</v>
      </c>
      <c r="G116" s="1225" t="s">
        <v>1465</v>
      </c>
      <c r="H116" s="1219">
        <v>8</v>
      </c>
      <c r="I116" s="1226" t="str">
        <f t="shared" si="5"/>
        <v xml:space="preserve"> </v>
      </c>
      <c r="J116" s="1227" t="str">
        <f t="shared" si="6"/>
        <v xml:space="preserve"> </v>
      </c>
      <c r="K116" s="674" t="str">
        <f t="shared" si="7"/>
        <v xml:space="preserve"> </v>
      </c>
    </row>
    <row r="117" spans="1:11" ht="24.95" customHeight="1">
      <c r="A117" s="1219"/>
      <c r="B117" s="1220"/>
      <c r="C117" s="1221"/>
      <c r="D117" s="1222"/>
      <c r="E117" s="1223"/>
      <c r="F117" s="1224"/>
      <c r="G117" s="1225"/>
      <c r="H117" s="1219"/>
      <c r="I117" s="1226" t="str">
        <f t="shared" si="5"/>
        <v xml:space="preserve"> </v>
      </c>
      <c r="J117" s="1227" t="str">
        <f t="shared" si="6"/>
        <v xml:space="preserve"> </v>
      </c>
      <c r="K117" s="674" t="str">
        <f t="shared" si="7"/>
        <v xml:space="preserve"> </v>
      </c>
    </row>
    <row r="118" spans="1:11" ht="24.95" customHeight="1">
      <c r="A118" s="1219"/>
      <c r="B118" s="1220"/>
      <c r="C118" s="1221" t="s">
        <v>1495</v>
      </c>
      <c r="D118" s="1222"/>
      <c r="E118" s="1223"/>
      <c r="F118" s="1224"/>
      <c r="G118" s="1225"/>
      <c r="H118" s="1219"/>
      <c r="I118" s="1226" t="str">
        <f t="shared" si="5"/>
        <v xml:space="preserve"> </v>
      </c>
      <c r="J118" s="1227" t="str">
        <f t="shared" si="6"/>
        <v xml:space="preserve"> </v>
      </c>
      <c r="K118" s="674" t="str">
        <f t="shared" si="7"/>
        <v xml:space="preserve"> </v>
      </c>
    </row>
    <row r="119" spans="1:11" ht="24.95" customHeight="1">
      <c r="A119" s="1219"/>
      <c r="B119" s="1220"/>
      <c r="C119" s="1221"/>
      <c r="D119" s="1222"/>
      <c r="E119" s="1223"/>
      <c r="F119" s="1224"/>
      <c r="G119" s="1225"/>
      <c r="H119" s="1219"/>
      <c r="I119" s="1226" t="str">
        <f t="shared" si="5"/>
        <v xml:space="preserve"> </v>
      </c>
      <c r="J119" s="1227" t="str">
        <f t="shared" si="6"/>
        <v xml:space="preserve"> </v>
      </c>
      <c r="K119" s="674" t="str">
        <f t="shared" si="7"/>
        <v xml:space="preserve"> </v>
      </c>
    </row>
    <row r="120" spans="1:11" ht="24.95" customHeight="1">
      <c r="A120" s="1219"/>
      <c r="B120" s="1220"/>
      <c r="C120" s="1221"/>
      <c r="D120" s="1222"/>
      <c r="E120" s="1223" t="s">
        <v>1392</v>
      </c>
      <c r="F120" s="1224"/>
      <c r="G120" s="1225"/>
      <c r="H120" s="1219"/>
      <c r="I120" s="1226" t="str">
        <f t="shared" si="5"/>
        <v xml:space="preserve"> </v>
      </c>
      <c r="J120" s="1227" t="str">
        <f t="shared" si="6"/>
        <v xml:space="preserve"> </v>
      </c>
      <c r="K120" s="674" t="str">
        <f t="shared" si="7"/>
        <v xml:space="preserve"> </v>
      </c>
    </row>
    <row r="121" spans="1:11" ht="24.95" customHeight="1">
      <c r="A121" s="1219">
        <v>1</v>
      </c>
      <c r="B121" s="1220"/>
      <c r="C121" s="1221"/>
      <c r="D121" s="1222"/>
      <c r="E121" s="1223"/>
      <c r="F121" s="1224"/>
      <c r="G121" s="1225"/>
      <c r="H121" s="1219">
        <v>1</v>
      </c>
      <c r="I121" s="1226" t="str">
        <f t="shared" si="5"/>
        <v xml:space="preserve"> </v>
      </c>
      <c r="J121" s="1227" t="str">
        <f t="shared" si="6"/>
        <v xml:space="preserve"> </v>
      </c>
      <c r="K121" s="674" t="str">
        <f t="shared" si="7"/>
        <v xml:space="preserve"> </v>
      </c>
    </row>
    <row r="122" spans="1:11" ht="24.95" customHeight="1">
      <c r="A122" s="1219">
        <v>2</v>
      </c>
      <c r="B122" s="1220" t="s">
        <v>29</v>
      </c>
      <c r="C122" s="1221" t="s">
        <v>1353</v>
      </c>
      <c r="D122" s="1222"/>
      <c r="E122" s="1223">
        <v>2007</v>
      </c>
      <c r="F122" s="1224" t="s">
        <v>1448</v>
      </c>
      <c r="G122" s="1225" t="s">
        <v>1471</v>
      </c>
      <c r="H122" s="1219">
        <v>2</v>
      </c>
      <c r="I122" s="1226" t="str">
        <f t="shared" si="5"/>
        <v xml:space="preserve"> </v>
      </c>
      <c r="J122" s="1227" t="str">
        <f t="shared" si="6"/>
        <v xml:space="preserve"> </v>
      </c>
      <c r="K122" s="674" t="str">
        <f t="shared" si="7"/>
        <v xml:space="preserve"> </v>
      </c>
    </row>
    <row r="123" spans="1:11" ht="24.95" customHeight="1">
      <c r="A123" s="1219">
        <v>3</v>
      </c>
      <c r="B123" s="1220" t="s">
        <v>13</v>
      </c>
      <c r="C123" s="1221" t="s">
        <v>1386</v>
      </c>
      <c r="D123" s="1222"/>
      <c r="E123" s="1223">
        <v>2006</v>
      </c>
      <c r="F123" s="1224" t="s">
        <v>553</v>
      </c>
      <c r="G123" s="1225" t="s">
        <v>1450</v>
      </c>
      <c r="H123" s="1219">
        <v>3</v>
      </c>
      <c r="I123" s="1226" t="str">
        <f t="shared" si="5"/>
        <v xml:space="preserve"> </v>
      </c>
      <c r="J123" s="1227" t="str">
        <f t="shared" si="6"/>
        <v xml:space="preserve"> </v>
      </c>
      <c r="K123" s="674" t="str">
        <f t="shared" si="7"/>
        <v xml:space="preserve"> </v>
      </c>
    </row>
    <row r="124" spans="1:11" ht="24.95" customHeight="1">
      <c r="A124" s="1219">
        <v>4</v>
      </c>
      <c r="B124" s="1220" t="s">
        <v>13</v>
      </c>
      <c r="C124" s="1221" t="s">
        <v>1519</v>
      </c>
      <c r="D124" s="1222"/>
      <c r="E124" s="1223">
        <v>2006</v>
      </c>
      <c r="F124" s="1224" t="s">
        <v>1360</v>
      </c>
      <c r="G124" s="1225" t="s">
        <v>1450</v>
      </c>
      <c r="H124" s="1219">
        <v>4</v>
      </c>
      <c r="I124" s="1226" t="str">
        <f t="shared" si="5"/>
        <v xml:space="preserve"> </v>
      </c>
      <c r="J124" s="1227" t="str">
        <f t="shared" si="6"/>
        <v xml:space="preserve"> </v>
      </c>
      <c r="K124" s="674" t="str">
        <f t="shared" si="7"/>
        <v xml:space="preserve"> </v>
      </c>
    </row>
    <row r="125" spans="1:11" ht="24.95" customHeight="1">
      <c r="A125" s="1219">
        <v>5</v>
      </c>
      <c r="B125" s="1220" t="s">
        <v>13</v>
      </c>
      <c r="C125" s="1221" t="s">
        <v>1518</v>
      </c>
      <c r="D125" s="1222"/>
      <c r="E125" s="1223">
        <v>2005</v>
      </c>
      <c r="F125" s="1224" t="s">
        <v>1360</v>
      </c>
      <c r="G125" s="1225" t="s">
        <v>1450</v>
      </c>
      <c r="H125" s="1219">
        <v>5</v>
      </c>
      <c r="I125" s="1226" t="str">
        <f t="shared" si="5"/>
        <v xml:space="preserve"> </v>
      </c>
      <c r="J125" s="1227" t="str">
        <f t="shared" si="6"/>
        <v xml:space="preserve"> </v>
      </c>
      <c r="K125" s="674" t="str">
        <f t="shared" si="7"/>
        <v xml:space="preserve"> </v>
      </c>
    </row>
    <row r="126" spans="1:11" ht="24.95" customHeight="1">
      <c r="A126" s="1219">
        <v>6</v>
      </c>
      <c r="B126" s="1220" t="s">
        <v>29</v>
      </c>
      <c r="C126" s="1221" t="s">
        <v>1507</v>
      </c>
      <c r="D126" s="1222"/>
      <c r="E126" s="1223">
        <v>2003</v>
      </c>
      <c r="F126" s="1224" t="s">
        <v>1433</v>
      </c>
      <c r="G126" s="1225" t="s">
        <v>1447</v>
      </c>
      <c r="H126" s="1219">
        <v>6</v>
      </c>
      <c r="I126" s="1226" t="str">
        <f t="shared" si="5"/>
        <v xml:space="preserve"> </v>
      </c>
      <c r="J126" s="1227" t="str">
        <f t="shared" si="6"/>
        <v xml:space="preserve"> </v>
      </c>
      <c r="K126" s="674" t="str">
        <f t="shared" si="7"/>
        <v xml:space="preserve"> </v>
      </c>
    </row>
    <row r="127" spans="1:11" ht="24.95" customHeight="1">
      <c r="A127" s="1219">
        <v>7</v>
      </c>
      <c r="B127" s="1220" t="s">
        <v>13</v>
      </c>
      <c r="C127" s="1221" t="s">
        <v>1520</v>
      </c>
      <c r="D127" s="1222"/>
      <c r="E127" s="1223">
        <v>2007</v>
      </c>
      <c r="F127" s="1224" t="s">
        <v>553</v>
      </c>
      <c r="G127" s="1225" t="s">
        <v>1471</v>
      </c>
      <c r="H127" s="1219">
        <v>7</v>
      </c>
      <c r="I127" s="1226" t="str">
        <f t="shared" si="5"/>
        <v xml:space="preserve"> </v>
      </c>
      <c r="J127" s="1227" t="str">
        <f t="shared" si="6"/>
        <v xml:space="preserve"> </v>
      </c>
      <c r="K127" s="674" t="str">
        <f t="shared" si="7"/>
        <v xml:space="preserve"> </v>
      </c>
    </row>
    <row r="128" spans="1:11" ht="24.95" customHeight="1">
      <c r="A128" s="1219">
        <v>8</v>
      </c>
      <c r="B128" s="1220"/>
      <c r="C128" s="1221"/>
      <c r="D128" s="1222"/>
      <c r="E128" s="1223"/>
      <c r="F128" s="1224"/>
      <c r="G128" s="1225"/>
      <c r="H128" s="1219">
        <v>8</v>
      </c>
      <c r="I128" s="1226" t="str">
        <f t="shared" si="5"/>
        <v xml:space="preserve"> </v>
      </c>
      <c r="J128" s="1227" t="str">
        <f t="shared" si="6"/>
        <v xml:space="preserve"> </v>
      </c>
      <c r="K128" s="674" t="str">
        <f t="shared" si="7"/>
        <v xml:space="preserve"> </v>
      </c>
    </row>
    <row r="129" spans="1:11" ht="24.95" customHeight="1">
      <c r="A129" s="1219"/>
      <c r="B129" s="1220"/>
      <c r="C129" s="1221"/>
      <c r="D129" s="1222"/>
      <c r="E129" s="1223" t="s">
        <v>1393</v>
      </c>
      <c r="F129" s="1224"/>
      <c r="G129" s="1225"/>
      <c r="H129" s="1219"/>
      <c r="I129" s="1226" t="str">
        <f t="shared" si="5"/>
        <v xml:space="preserve"> </v>
      </c>
      <c r="J129" s="1227" t="str">
        <f t="shared" si="6"/>
        <v xml:space="preserve"> </v>
      </c>
      <c r="K129" s="674" t="str">
        <f t="shared" si="7"/>
        <v xml:space="preserve"> </v>
      </c>
    </row>
    <row r="130" spans="1:11" ht="24.95" customHeight="1">
      <c r="A130" s="1219">
        <v>1</v>
      </c>
      <c r="B130" s="1220"/>
      <c r="C130" s="1221"/>
      <c r="D130" s="1222"/>
      <c r="E130" s="1223"/>
      <c r="F130" s="1224"/>
      <c r="G130" s="1225"/>
      <c r="H130" s="1219">
        <v>1</v>
      </c>
      <c r="I130" s="1226" t="str">
        <f t="shared" si="5"/>
        <v xml:space="preserve"> </v>
      </c>
      <c r="J130" s="1227" t="str">
        <f t="shared" si="6"/>
        <v xml:space="preserve"> </v>
      </c>
      <c r="K130" s="674" t="str">
        <f t="shared" si="7"/>
        <v xml:space="preserve"> </v>
      </c>
    </row>
    <row r="131" spans="1:11" ht="24.95" customHeight="1">
      <c r="A131" s="1219">
        <v>2</v>
      </c>
      <c r="B131" s="1220" t="s">
        <v>15</v>
      </c>
      <c r="C131" s="1221" t="s">
        <v>1505</v>
      </c>
      <c r="D131" s="1222"/>
      <c r="E131" s="1223">
        <v>2000</v>
      </c>
      <c r="F131" s="1224" t="s">
        <v>1452</v>
      </c>
      <c r="G131" s="1225" t="s">
        <v>1442</v>
      </c>
      <c r="H131" s="1219">
        <v>2</v>
      </c>
      <c r="I131" s="1226" t="str">
        <f t="shared" si="5"/>
        <v xml:space="preserve"> </v>
      </c>
      <c r="J131" s="1227" t="str">
        <f t="shared" si="6"/>
        <v xml:space="preserve"> </v>
      </c>
      <c r="K131" s="674" t="str">
        <f t="shared" si="7"/>
        <v xml:space="preserve"> </v>
      </c>
    </row>
    <row r="132" spans="1:11" ht="24.95" customHeight="1">
      <c r="A132" s="1219">
        <v>3</v>
      </c>
      <c r="B132" s="1220" t="s">
        <v>1</v>
      </c>
      <c r="C132" s="1221" t="s">
        <v>1513</v>
      </c>
      <c r="D132" s="1222"/>
      <c r="E132" s="1223">
        <v>2005</v>
      </c>
      <c r="F132" s="1224" t="s">
        <v>1445</v>
      </c>
      <c r="G132" s="1225" t="s">
        <v>1450</v>
      </c>
      <c r="H132" s="1219">
        <v>3</v>
      </c>
      <c r="I132" s="1226" t="str">
        <f t="shared" si="5"/>
        <v xml:space="preserve"> </v>
      </c>
      <c r="J132" s="1227" t="str">
        <f t="shared" si="6"/>
        <v xml:space="preserve"> </v>
      </c>
      <c r="K132" s="674" t="str">
        <f t="shared" si="7"/>
        <v xml:space="preserve"> </v>
      </c>
    </row>
    <row r="133" spans="1:11" ht="24.95" customHeight="1">
      <c r="A133" s="1219">
        <v>4</v>
      </c>
      <c r="B133" s="1220" t="s">
        <v>13</v>
      </c>
      <c r="C133" s="1221" t="s">
        <v>1411</v>
      </c>
      <c r="D133" s="1222"/>
      <c r="E133" s="1223">
        <v>2005</v>
      </c>
      <c r="F133" s="1224" t="s">
        <v>1360</v>
      </c>
      <c r="G133" s="1225" t="s">
        <v>1450</v>
      </c>
      <c r="H133" s="1219">
        <v>4</v>
      </c>
      <c r="I133" s="1226" t="str">
        <f t="shared" si="5"/>
        <v xml:space="preserve"> </v>
      </c>
      <c r="J133" s="1227" t="str">
        <f t="shared" si="6"/>
        <v xml:space="preserve"> </v>
      </c>
      <c r="K133" s="674" t="str">
        <f t="shared" si="7"/>
        <v xml:space="preserve"> </v>
      </c>
    </row>
    <row r="134" spans="1:11" ht="24.95" customHeight="1">
      <c r="A134" s="1219">
        <v>5</v>
      </c>
      <c r="B134" s="1220" t="s">
        <v>1</v>
      </c>
      <c r="C134" s="1221" t="s">
        <v>1515</v>
      </c>
      <c r="D134" s="1222" t="s">
        <v>433</v>
      </c>
      <c r="E134" s="1223">
        <v>2004</v>
      </c>
      <c r="F134" s="1224" t="s">
        <v>1445</v>
      </c>
      <c r="G134" s="1225" t="s">
        <v>1450</v>
      </c>
      <c r="H134" s="1219">
        <v>5</v>
      </c>
      <c r="I134" s="1226" t="str">
        <f t="shared" si="5"/>
        <v xml:space="preserve"> </v>
      </c>
      <c r="J134" s="1227" t="str">
        <f t="shared" si="6"/>
        <v xml:space="preserve"> </v>
      </c>
      <c r="K134" s="674" t="str">
        <f t="shared" si="7"/>
        <v xml:space="preserve"> </v>
      </c>
    </row>
    <row r="135" spans="1:11" ht="24.95" customHeight="1">
      <c r="A135" s="1219">
        <v>6</v>
      </c>
      <c r="B135" s="1220" t="s">
        <v>13</v>
      </c>
      <c r="C135" s="1221" t="s">
        <v>1415</v>
      </c>
      <c r="D135" s="1222"/>
      <c r="E135" s="1223">
        <v>2006</v>
      </c>
      <c r="F135" s="1224" t="s">
        <v>1448</v>
      </c>
      <c r="G135" s="1225" t="s">
        <v>1450</v>
      </c>
      <c r="H135" s="1219">
        <v>6</v>
      </c>
      <c r="I135" s="1226" t="str">
        <f t="shared" si="5"/>
        <v xml:space="preserve"> </v>
      </c>
      <c r="J135" s="1227" t="str">
        <f t="shared" si="6"/>
        <v xml:space="preserve"> </v>
      </c>
      <c r="K135" s="674" t="str">
        <f t="shared" si="7"/>
        <v xml:space="preserve"> </v>
      </c>
    </row>
    <row r="136" spans="1:11" ht="24.95" customHeight="1">
      <c r="A136" s="1219">
        <v>7</v>
      </c>
      <c r="B136" s="1220" t="s">
        <v>13</v>
      </c>
      <c r="C136" s="1221" t="s">
        <v>1499</v>
      </c>
      <c r="D136" s="1222"/>
      <c r="E136" s="1223">
        <v>2003</v>
      </c>
      <c r="F136" s="1224" t="s">
        <v>1431</v>
      </c>
      <c r="G136" s="1225" t="s">
        <v>1442</v>
      </c>
      <c r="H136" s="1219">
        <v>7</v>
      </c>
      <c r="I136" s="1226" t="str">
        <f t="shared" si="5"/>
        <v xml:space="preserve"> </v>
      </c>
      <c r="J136" s="1227" t="str">
        <f t="shared" si="6"/>
        <v xml:space="preserve"> </v>
      </c>
      <c r="K136" s="674" t="str">
        <f t="shared" si="7"/>
        <v xml:space="preserve"> </v>
      </c>
    </row>
    <row r="137" spans="1:11" ht="24.95" customHeight="1">
      <c r="A137" s="1219">
        <v>8</v>
      </c>
      <c r="B137" s="1220" t="s">
        <v>29</v>
      </c>
      <c r="C137" s="1221" t="s">
        <v>1543</v>
      </c>
      <c r="D137" s="1222"/>
      <c r="E137" s="1223">
        <v>1999</v>
      </c>
      <c r="F137" s="1224" t="s">
        <v>1544</v>
      </c>
      <c r="G137" s="1225" t="s">
        <v>1442</v>
      </c>
      <c r="H137" s="1219">
        <v>8</v>
      </c>
      <c r="I137" s="1226" t="str">
        <f t="shared" si="5"/>
        <v xml:space="preserve"> </v>
      </c>
      <c r="J137" s="1227" t="str">
        <f t="shared" si="6"/>
        <v xml:space="preserve"> </v>
      </c>
      <c r="K137" s="674" t="str">
        <f t="shared" si="7"/>
        <v xml:space="preserve"> </v>
      </c>
    </row>
    <row r="138" spans="1:11" ht="24.95" customHeight="1">
      <c r="A138" s="1219"/>
      <c r="B138" s="1220"/>
      <c r="C138" s="1221"/>
      <c r="D138" s="1222"/>
      <c r="E138" s="1223"/>
      <c r="F138" s="1224"/>
      <c r="G138" s="1225"/>
      <c r="H138" s="1219"/>
      <c r="I138" s="1226" t="str">
        <f t="shared" si="5"/>
        <v xml:space="preserve"> </v>
      </c>
      <c r="J138" s="1227" t="str">
        <f t="shared" si="6"/>
        <v xml:space="preserve"> </v>
      </c>
      <c r="K138" s="674" t="str">
        <f t="shared" si="7"/>
        <v xml:space="preserve"> </v>
      </c>
    </row>
    <row r="139" spans="1:11" ht="24.95" customHeight="1">
      <c r="A139" s="1219"/>
      <c r="B139" s="1220"/>
      <c r="C139" s="1221"/>
      <c r="D139" s="1222"/>
      <c r="E139" s="1223" t="s">
        <v>1394</v>
      </c>
      <c r="F139" s="1224"/>
      <c r="G139" s="1225"/>
      <c r="H139" s="1219"/>
      <c r="I139" s="1226" t="str">
        <f t="shared" si="5"/>
        <v xml:space="preserve"> </v>
      </c>
      <c r="J139" s="1227" t="str">
        <f t="shared" si="6"/>
        <v xml:space="preserve"> </v>
      </c>
      <c r="K139" s="674" t="str">
        <f t="shared" si="7"/>
        <v xml:space="preserve"> </v>
      </c>
    </row>
    <row r="140" spans="1:11" ht="24.95" customHeight="1">
      <c r="A140" s="1219"/>
      <c r="B140" s="1220"/>
      <c r="C140" s="1221"/>
      <c r="D140" s="1222"/>
      <c r="E140" s="1223"/>
      <c r="F140" s="1224"/>
      <c r="G140" s="1225"/>
      <c r="H140" s="1219"/>
      <c r="I140" s="1226" t="str">
        <f t="shared" si="5"/>
        <v xml:space="preserve"> </v>
      </c>
      <c r="J140" s="1227" t="str">
        <f t="shared" si="6"/>
        <v xml:space="preserve"> </v>
      </c>
      <c r="K140" s="674" t="str">
        <f t="shared" si="7"/>
        <v xml:space="preserve"> </v>
      </c>
    </row>
    <row r="141" spans="1:11" ht="24.95" customHeight="1">
      <c r="A141" s="1219">
        <v>1</v>
      </c>
      <c r="B141" s="1220" t="s">
        <v>1</v>
      </c>
      <c r="C141" s="1221" t="s">
        <v>1382</v>
      </c>
      <c r="D141" s="1222"/>
      <c r="E141" s="1223">
        <v>2005</v>
      </c>
      <c r="F141" s="1224" t="s">
        <v>1360</v>
      </c>
      <c r="G141" s="1225" t="s">
        <v>1450</v>
      </c>
      <c r="H141" s="1219">
        <v>1</v>
      </c>
      <c r="I141" s="1226" t="str">
        <f t="shared" si="5"/>
        <v xml:space="preserve"> </v>
      </c>
      <c r="J141" s="1227" t="str">
        <f t="shared" si="6"/>
        <v xml:space="preserve"> </v>
      </c>
      <c r="K141" s="674" t="str">
        <f t="shared" si="7"/>
        <v xml:space="preserve"> </v>
      </c>
    </row>
    <row r="142" spans="1:11" ht="24.95" customHeight="1">
      <c r="A142" s="1219">
        <v>2</v>
      </c>
      <c r="B142" s="1220" t="s">
        <v>1</v>
      </c>
      <c r="C142" s="1221" t="s">
        <v>1514</v>
      </c>
      <c r="D142" s="1222" t="s">
        <v>433</v>
      </c>
      <c r="E142" s="1223">
        <v>2005</v>
      </c>
      <c r="F142" s="1224" t="s">
        <v>1445</v>
      </c>
      <c r="G142" s="1225" t="s">
        <v>1450</v>
      </c>
      <c r="H142" s="1219">
        <v>2</v>
      </c>
      <c r="I142" s="1226" t="str">
        <f t="shared" si="5"/>
        <v xml:space="preserve"> </v>
      </c>
      <c r="J142" s="1227" t="str">
        <f t="shared" si="6"/>
        <v xml:space="preserve"> </v>
      </c>
      <c r="K142" s="674" t="str">
        <f t="shared" si="7"/>
        <v xml:space="preserve"> </v>
      </c>
    </row>
    <row r="143" spans="1:11" ht="24.95" customHeight="1">
      <c r="A143" s="1219">
        <v>3</v>
      </c>
      <c r="B143" s="1220" t="s">
        <v>1</v>
      </c>
      <c r="C143" s="1221" t="s">
        <v>1497</v>
      </c>
      <c r="D143" s="1222"/>
      <c r="E143" s="1223">
        <v>2002</v>
      </c>
      <c r="F143" s="1224" t="s">
        <v>1431</v>
      </c>
      <c r="G143" s="1225" t="s">
        <v>1447</v>
      </c>
      <c r="H143" s="1219">
        <v>3</v>
      </c>
      <c r="I143" s="1226" t="str">
        <f t="shared" si="5"/>
        <v xml:space="preserve"> </v>
      </c>
      <c r="J143" s="1227" t="str">
        <f t="shared" si="6"/>
        <v xml:space="preserve"> </v>
      </c>
      <c r="K143" s="674" t="str">
        <f t="shared" si="7"/>
        <v xml:space="preserve"> </v>
      </c>
    </row>
    <row r="144" spans="1:11" ht="24.95" customHeight="1">
      <c r="A144" s="1219">
        <v>4</v>
      </c>
      <c r="B144" s="1220" t="s">
        <v>1</v>
      </c>
      <c r="C144" s="1221" t="s">
        <v>1498</v>
      </c>
      <c r="D144" s="1222"/>
      <c r="E144" s="1223">
        <v>2003</v>
      </c>
      <c r="F144" s="1224" t="s">
        <v>1431</v>
      </c>
      <c r="G144" s="1225" t="s">
        <v>1442</v>
      </c>
      <c r="H144" s="1219">
        <v>4</v>
      </c>
      <c r="I144" s="1226" t="str">
        <f t="shared" si="5"/>
        <v xml:space="preserve"> </v>
      </c>
      <c r="J144" s="1227" t="str">
        <f t="shared" si="6"/>
        <v xml:space="preserve"> </v>
      </c>
      <c r="K144" s="674" t="str">
        <f t="shared" si="7"/>
        <v xml:space="preserve"> </v>
      </c>
    </row>
    <row r="145" spans="1:11" ht="24.95" customHeight="1">
      <c r="A145" s="1219">
        <v>5</v>
      </c>
      <c r="B145" s="1220" t="s">
        <v>29</v>
      </c>
      <c r="C145" s="1221" t="s">
        <v>1391</v>
      </c>
      <c r="D145" s="1222"/>
      <c r="E145" s="1223">
        <v>2003</v>
      </c>
      <c r="F145" s="1224" t="s">
        <v>1433</v>
      </c>
      <c r="G145" s="1225" t="s">
        <v>1447</v>
      </c>
      <c r="H145" s="1219">
        <v>5</v>
      </c>
      <c r="I145" s="1226" t="str">
        <f t="shared" si="5"/>
        <v xml:space="preserve"> </v>
      </c>
      <c r="J145" s="1227" t="str">
        <f t="shared" si="6"/>
        <v xml:space="preserve"> </v>
      </c>
      <c r="K145" s="674" t="str">
        <f t="shared" si="7"/>
        <v xml:space="preserve"> </v>
      </c>
    </row>
    <row r="146" spans="1:11" ht="24.95" customHeight="1">
      <c r="A146" s="1219">
        <v>6</v>
      </c>
      <c r="B146" s="1220" t="s">
        <v>1</v>
      </c>
      <c r="C146" s="1221" t="s">
        <v>1405</v>
      </c>
      <c r="D146" s="1222"/>
      <c r="E146" s="1223">
        <v>2004</v>
      </c>
      <c r="F146" s="1224" t="s">
        <v>553</v>
      </c>
      <c r="G146" s="1225" t="s">
        <v>1450</v>
      </c>
      <c r="H146" s="1219">
        <v>6</v>
      </c>
      <c r="I146" s="1226" t="str">
        <f t="shared" si="5"/>
        <v xml:space="preserve"> </v>
      </c>
      <c r="J146" s="1227" t="str">
        <f t="shared" si="6"/>
        <v xml:space="preserve"> </v>
      </c>
      <c r="K146" s="674" t="str">
        <f t="shared" si="7"/>
        <v xml:space="preserve"> </v>
      </c>
    </row>
    <row r="147" spans="1:11" ht="24.95" customHeight="1">
      <c r="A147" s="1219">
        <v>7</v>
      </c>
      <c r="B147" s="1220" t="s">
        <v>15</v>
      </c>
      <c r="C147" s="1221" t="s">
        <v>1506</v>
      </c>
      <c r="D147" s="1222"/>
      <c r="E147" s="1223">
        <v>1996</v>
      </c>
      <c r="F147" s="1224" t="s">
        <v>1452</v>
      </c>
      <c r="G147" s="1225" t="s">
        <v>1442</v>
      </c>
      <c r="H147" s="1219">
        <v>7</v>
      </c>
      <c r="I147" s="1226" t="str">
        <f t="shared" si="5"/>
        <v xml:space="preserve"> </v>
      </c>
      <c r="J147" s="1227" t="str">
        <f t="shared" si="6"/>
        <v xml:space="preserve"> </v>
      </c>
      <c r="K147" s="674" t="str">
        <f t="shared" si="7"/>
        <v xml:space="preserve"> </v>
      </c>
    </row>
    <row r="148" spans="1:11" ht="24.95" customHeight="1">
      <c r="A148" s="1219">
        <v>8</v>
      </c>
      <c r="B148" s="1220" t="s">
        <v>13</v>
      </c>
      <c r="C148" s="1221" t="s">
        <v>1418</v>
      </c>
      <c r="D148" s="1222"/>
      <c r="E148" s="1223">
        <v>2004</v>
      </c>
      <c r="F148" s="1224" t="s">
        <v>1360</v>
      </c>
      <c r="G148" s="1225" t="s">
        <v>1450</v>
      </c>
      <c r="H148" s="1219">
        <v>8</v>
      </c>
      <c r="I148" s="1226" t="str">
        <f t="shared" si="5"/>
        <v xml:space="preserve"> </v>
      </c>
      <c r="J148" s="1227" t="str">
        <f t="shared" si="6"/>
        <v xml:space="preserve"> </v>
      </c>
      <c r="K148" s="674" t="str">
        <f t="shared" si="7"/>
        <v xml:space="preserve"> </v>
      </c>
    </row>
    <row r="149" spans="1:11" ht="24.95" customHeight="1">
      <c r="A149" s="1219"/>
      <c r="B149" s="1220"/>
      <c r="C149" s="1221"/>
      <c r="D149" s="1222"/>
      <c r="E149" s="1223"/>
      <c r="F149" s="1224"/>
      <c r="G149" s="1225"/>
      <c r="H149" s="1219"/>
      <c r="I149" s="1226" t="str">
        <f t="shared" si="5"/>
        <v xml:space="preserve"> </v>
      </c>
      <c r="J149" s="1227" t="str">
        <f t="shared" si="6"/>
        <v xml:space="preserve"> </v>
      </c>
      <c r="K149" s="674" t="str">
        <f t="shared" si="7"/>
        <v xml:space="preserve"> </v>
      </c>
    </row>
    <row r="150" spans="1:11" ht="24.95" customHeight="1">
      <c r="A150" s="1219"/>
      <c r="B150" s="1220"/>
      <c r="C150" s="1221"/>
      <c r="D150" s="1222"/>
      <c r="E150" s="1223" t="s">
        <v>1395</v>
      </c>
      <c r="F150" s="1224"/>
      <c r="G150" s="1225"/>
      <c r="H150" s="1219"/>
      <c r="I150" s="1226" t="str">
        <f t="shared" si="5"/>
        <v xml:space="preserve"> </v>
      </c>
      <c r="J150" s="1227" t="str">
        <f t="shared" si="6"/>
        <v xml:space="preserve"> </v>
      </c>
      <c r="K150" s="674" t="str">
        <f t="shared" si="7"/>
        <v xml:space="preserve"> </v>
      </c>
    </row>
    <row r="151" spans="1:11" ht="24.95" customHeight="1">
      <c r="A151" s="1219"/>
      <c r="B151" s="1220"/>
      <c r="C151" s="1221"/>
      <c r="D151" s="1222"/>
      <c r="E151" s="1223"/>
      <c r="F151" s="1224"/>
      <c r="G151" s="1225"/>
      <c r="H151" s="1219"/>
      <c r="I151" s="1226" t="str">
        <f t="shared" si="5"/>
        <v xml:space="preserve"> </v>
      </c>
      <c r="J151" s="1227" t="str">
        <f t="shared" si="6"/>
        <v xml:space="preserve"> </v>
      </c>
      <c r="K151" s="674" t="str">
        <f t="shared" si="7"/>
        <v xml:space="preserve"> </v>
      </c>
    </row>
    <row r="152" spans="1:11" ht="24.95" customHeight="1">
      <c r="A152" s="1219">
        <v>1</v>
      </c>
      <c r="B152" s="1220" t="s">
        <v>1</v>
      </c>
      <c r="C152" s="1221" t="s">
        <v>1517</v>
      </c>
      <c r="D152" s="1222"/>
      <c r="E152" s="1223">
        <v>2005</v>
      </c>
      <c r="F152" s="1224" t="s">
        <v>1360</v>
      </c>
      <c r="G152" s="1225" t="s">
        <v>1450</v>
      </c>
      <c r="H152" s="1219">
        <v>1</v>
      </c>
      <c r="I152" s="1226" t="str">
        <f t="shared" si="5"/>
        <v xml:space="preserve"> </v>
      </c>
      <c r="J152" s="1227" t="str">
        <f t="shared" si="6"/>
        <v xml:space="preserve"> </v>
      </c>
      <c r="K152" s="674" t="str">
        <f t="shared" si="7"/>
        <v xml:space="preserve"> </v>
      </c>
    </row>
    <row r="153" spans="1:11" ht="24.95" customHeight="1">
      <c r="A153" s="1219">
        <v>2</v>
      </c>
      <c r="B153" s="1220" t="s">
        <v>1</v>
      </c>
      <c r="C153" s="1221" t="s">
        <v>1500</v>
      </c>
      <c r="D153" s="1222"/>
      <c r="E153" s="1223">
        <v>2003</v>
      </c>
      <c r="F153" s="1224" t="s">
        <v>1431</v>
      </c>
      <c r="G153" s="1225" t="s">
        <v>1447</v>
      </c>
      <c r="H153" s="1219">
        <v>2</v>
      </c>
      <c r="I153" s="1226" t="str">
        <f t="shared" si="5"/>
        <v xml:space="preserve"> </v>
      </c>
      <c r="J153" s="1227" t="str">
        <f t="shared" si="6"/>
        <v xml:space="preserve"> </v>
      </c>
      <c r="K153" s="674" t="str">
        <f t="shared" si="7"/>
        <v xml:space="preserve"> </v>
      </c>
    </row>
    <row r="154" spans="1:11" ht="24.95" customHeight="1">
      <c r="A154" s="1219">
        <v>3</v>
      </c>
      <c r="B154" s="1220" t="s">
        <v>29</v>
      </c>
      <c r="C154" s="1221" t="s">
        <v>1378</v>
      </c>
      <c r="D154" s="1222"/>
      <c r="E154" s="1223">
        <v>2002</v>
      </c>
      <c r="F154" s="1224" t="s">
        <v>1431</v>
      </c>
      <c r="G154" s="1225" t="s">
        <v>1447</v>
      </c>
      <c r="H154" s="1219">
        <v>3</v>
      </c>
      <c r="I154" s="1226" t="str">
        <f t="shared" si="5"/>
        <v xml:space="preserve"> </v>
      </c>
      <c r="J154" s="1227" t="str">
        <f t="shared" si="6"/>
        <v xml:space="preserve"> </v>
      </c>
      <c r="K154" s="674" t="str">
        <f t="shared" si="7"/>
        <v xml:space="preserve"> </v>
      </c>
    </row>
    <row r="155" spans="1:11" ht="24.95" customHeight="1">
      <c r="A155" s="1219">
        <v>4</v>
      </c>
      <c r="B155" s="1220" t="s">
        <v>13</v>
      </c>
      <c r="C155" s="1221" t="s">
        <v>1420</v>
      </c>
      <c r="D155" s="1222"/>
      <c r="E155" s="1223">
        <v>2002</v>
      </c>
      <c r="F155" s="1224" t="s">
        <v>1433</v>
      </c>
      <c r="G155" s="1225" t="s">
        <v>1447</v>
      </c>
      <c r="H155" s="1219">
        <v>4</v>
      </c>
      <c r="I155" s="1226" t="str">
        <f t="shared" si="5"/>
        <v xml:space="preserve"> </v>
      </c>
      <c r="J155" s="1227" t="str">
        <f t="shared" si="6"/>
        <v xml:space="preserve"> </v>
      </c>
      <c r="K155" s="674" t="str">
        <f t="shared" si="7"/>
        <v xml:space="preserve"> </v>
      </c>
    </row>
    <row r="156" spans="1:11" ht="24.95" customHeight="1">
      <c r="A156" s="1219">
        <v>5</v>
      </c>
      <c r="B156" s="1220" t="s">
        <v>29</v>
      </c>
      <c r="C156" s="1221" t="s">
        <v>1385</v>
      </c>
      <c r="D156" s="1222"/>
      <c r="E156" s="1223">
        <v>2003</v>
      </c>
      <c r="F156" s="1224" t="s">
        <v>1538</v>
      </c>
      <c r="G156" s="1225" t="s">
        <v>1440</v>
      </c>
      <c r="H156" s="1219">
        <v>5</v>
      </c>
      <c r="I156" s="1226" t="str">
        <f t="shared" ref="I156:I222" si="8">IF($D156="Заплыв №","РЕЗУЛЬТАТ"," ")</f>
        <v xml:space="preserve"> </v>
      </c>
      <c r="J156" s="1227" t="str">
        <f t="shared" ref="J156:J222" si="9">IF($D156="Заплыв №","ФИНИШ"," ")</f>
        <v xml:space="preserve"> </v>
      </c>
      <c r="K156" s="674" t="str">
        <f t="shared" ref="K156:K222" si="10">IF($D156="Заплыв №","ПРИМ."," ")</f>
        <v xml:space="preserve"> </v>
      </c>
    </row>
    <row r="157" spans="1:11" ht="24.95" customHeight="1">
      <c r="A157" s="1219">
        <v>6</v>
      </c>
      <c r="B157" s="1220" t="s">
        <v>1</v>
      </c>
      <c r="C157" s="1221" t="s">
        <v>1472</v>
      </c>
      <c r="D157" s="1222"/>
      <c r="E157" s="1223">
        <v>2005</v>
      </c>
      <c r="F157" s="1224" t="s">
        <v>553</v>
      </c>
      <c r="G157" s="1225" t="s">
        <v>1450</v>
      </c>
      <c r="H157" s="1219">
        <v>6</v>
      </c>
      <c r="I157" s="1226" t="str">
        <f t="shared" si="8"/>
        <v xml:space="preserve"> </v>
      </c>
      <c r="J157" s="1227" t="str">
        <f t="shared" si="9"/>
        <v xml:space="preserve"> </v>
      </c>
      <c r="K157" s="674" t="str">
        <f t="shared" si="10"/>
        <v xml:space="preserve"> </v>
      </c>
    </row>
    <row r="158" spans="1:11" ht="24.95" customHeight="1">
      <c r="A158" s="1219">
        <v>7</v>
      </c>
      <c r="B158" s="1220" t="s">
        <v>1</v>
      </c>
      <c r="C158" s="1221" t="s">
        <v>1410</v>
      </c>
      <c r="D158" s="1222"/>
      <c r="E158" s="1223">
        <v>2005</v>
      </c>
      <c r="F158" s="1224" t="s">
        <v>1360</v>
      </c>
      <c r="G158" s="1225" t="s">
        <v>1450</v>
      </c>
      <c r="H158" s="1219">
        <v>7</v>
      </c>
      <c r="I158" s="1226" t="str">
        <f t="shared" si="8"/>
        <v xml:space="preserve"> </v>
      </c>
      <c r="J158" s="1227" t="str">
        <f t="shared" si="9"/>
        <v xml:space="preserve"> </v>
      </c>
      <c r="K158" s="674" t="str">
        <f t="shared" si="10"/>
        <v xml:space="preserve"> </v>
      </c>
    </row>
    <row r="159" spans="1:11" ht="24.95" customHeight="1">
      <c r="A159" s="1219">
        <v>8</v>
      </c>
      <c r="B159" s="1220" t="s">
        <v>1</v>
      </c>
      <c r="C159" s="1221" t="s">
        <v>1354</v>
      </c>
      <c r="D159" s="1222"/>
      <c r="E159" s="1223">
        <v>2007</v>
      </c>
      <c r="F159" s="1224" t="s">
        <v>1350</v>
      </c>
      <c r="G159" s="1225" t="s">
        <v>1471</v>
      </c>
      <c r="H159" s="1219">
        <v>8</v>
      </c>
      <c r="I159" s="1226" t="str">
        <f t="shared" si="8"/>
        <v xml:space="preserve"> </v>
      </c>
      <c r="J159" s="1227" t="str">
        <f t="shared" si="9"/>
        <v xml:space="preserve"> </v>
      </c>
      <c r="K159" s="674" t="str">
        <f t="shared" si="10"/>
        <v xml:space="preserve"> </v>
      </c>
    </row>
    <row r="160" spans="1:11" ht="24.95" customHeight="1">
      <c r="A160" s="1219"/>
      <c r="B160" s="1220"/>
      <c r="C160" s="1221"/>
      <c r="D160" s="1222"/>
      <c r="E160" s="1223"/>
      <c r="F160" s="1224"/>
      <c r="G160" s="1225"/>
      <c r="H160" s="1219"/>
      <c r="I160" s="1226" t="str">
        <f t="shared" si="8"/>
        <v xml:space="preserve"> </v>
      </c>
      <c r="J160" s="1227" t="str">
        <f t="shared" si="9"/>
        <v xml:space="preserve"> </v>
      </c>
      <c r="K160" s="674" t="str">
        <f t="shared" si="10"/>
        <v xml:space="preserve"> </v>
      </c>
    </row>
    <row r="161" spans="1:11" ht="24.95" customHeight="1">
      <c r="A161" s="1219"/>
      <c r="B161" s="1220"/>
      <c r="C161" s="1221"/>
      <c r="D161" s="1222"/>
      <c r="E161" s="1223"/>
      <c r="F161" s="1224"/>
      <c r="G161" s="1225"/>
      <c r="H161" s="1219"/>
      <c r="I161" s="1226" t="str">
        <f t="shared" si="8"/>
        <v xml:space="preserve"> </v>
      </c>
      <c r="J161" s="1227" t="str">
        <f t="shared" si="9"/>
        <v xml:space="preserve"> </v>
      </c>
      <c r="K161" s="674" t="str">
        <f t="shared" si="10"/>
        <v xml:space="preserve"> </v>
      </c>
    </row>
    <row r="162" spans="1:11" ht="24.95" customHeight="1">
      <c r="A162" s="1219"/>
      <c r="B162" s="1220"/>
      <c r="C162" s="1221"/>
      <c r="D162" s="1222"/>
      <c r="E162" s="1223" t="s">
        <v>1396</v>
      </c>
      <c r="F162" s="1224"/>
      <c r="G162" s="1225"/>
      <c r="H162" s="1219"/>
      <c r="I162" s="1226" t="str">
        <f t="shared" si="8"/>
        <v xml:space="preserve"> </v>
      </c>
      <c r="J162" s="1227" t="str">
        <f t="shared" si="9"/>
        <v xml:space="preserve"> </v>
      </c>
      <c r="K162" s="674" t="str">
        <f t="shared" si="10"/>
        <v xml:space="preserve"> </v>
      </c>
    </row>
    <row r="163" spans="1:11" ht="24.95" customHeight="1">
      <c r="A163" s="1219">
        <v>1</v>
      </c>
      <c r="B163" s="1220"/>
      <c r="C163" s="1221"/>
      <c r="D163" s="1222"/>
      <c r="E163" s="1223"/>
      <c r="F163" s="1224"/>
      <c r="G163" s="1225"/>
      <c r="H163" s="1219">
        <v>1</v>
      </c>
      <c r="I163" s="1226" t="str">
        <f t="shared" si="8"/>
        <v xml:space="preserve"> </v>
      </c>
      <c r="J163" s="1227" t="str">
        <f t="shared" si="9"/>
        <v xml:space="preserve"> </v>
      </c>
      <c r="K163" s="674" t="str">
        <f t="shared" si="10"/>
        <v xml:space="preserve"> </v>
      </c>
    </row>
    <row r="164" spans="1:11" ht="24.95" customHeight="1">
      <c r="A164" s="1219">
        <v>2</v>
      </c>
      <c r="B164" s="1220" t="s">
        <v>13</v>
      </c>
      <c r="C164" s="1221" t="s">
        <v>1521</v>
      </c>
      <c r="D164" s="1222"/>
      <c r="E164" s="1223">
        <v>2006</v>
      </c>
      <c r="F164" s="1224" t="s">
        <v>553</v>
      </c>
      <c r="G164" s="1225" t="s">
        <v>1450</v>
      </c>
      <c r="H164" s="1219">
        <v>2</v>
      </c>
      <c r="I164" s="1226" t="str">
        <f t="shared" si="8"/>
        <v xml:space="preserve"> </v>
      </c>
      <c r="J164" s="1227" t="str">
        <f t="shared" si="9"/>
        <v xml:space="preserve"> </v>
      </c>
      <c r="K164" s="674" t="str">
        <f t="shared" si="10"/>
        <v xml:space="preserve"> </v>
      </c>
    </row>
    <row r="165" spans="1:11" ht="24.95" customHeight="1">
      <c r="A165" s="1219">
        <v>3</v>
      </c>
      <c r="B165" s="1220" t="s">
        <v>29</v>
      </c>
      <c r="C165" s="1221" t="s">
        <v>1376</v>
      </c>
      <c r="D165" s="1222"/>
      <c r="E165" s="1223">
        <v>2006</v>
      </c>
      <c r="F165" s="1224" t="s">
        <v>1448</v>
      </c>
      <c r="G165" s="1225" t="s">
        <v>1450</v>
      </c>
      <c r="H165" s="1219">
        <v>3</v>
      </c>
      <c r="I165" s="1226" t="str">
        <f t="shared" si="8"/>
        <v xml:space="preserve"> </v>
      </c>
      <c r="J165" s="1227" t="str">
        <f t="shared" si="9"/>
        <v xml:space="preserve"> </v>
      </c>
      <c r="K165" s="674" t="str">
        <f t="shared" si="10"/>
        <v xml:space="preserve"> </v>
      </c>
    </row>
    <row r="166" spans="1:11" ht="24.95" customHeight="1">
      <c r="A166" s="1219">
        <v>4</v>
      </c>
      <c r="B166" s="1220" t="s">
        <v>29</v>
      </c>
      <c r="C166" s="1221" t="s">
        <v>1504</v>
      </c>
      <c r="D166" s="1222"/>
      <c r="E166" s="1223">
        <v>1997</v>
      </c>
      <c r="F166" s="1224" t="s">
        <v>1502</v>
      </c>
      <c r="G166" s="1225" t="s">
        <v>1442</v>
      </c>
      <c r="H166" s="1219">
        <v>4</v>
      </c>
      <c r="I166" s="1226" t="str">
        <f t="shared" si="8"/>
        <v xml:space="preserve"> </v>
      </c>
      <c r="J166" s="1227" t="str">
        <f t="shared" si="9"/>
        <v xml:space="preserve"> </v>
      </c>
      <c r="K166" s="674" t="str">
        <f t="shared" si="10"/>
        <v xml:space="preserve"> </v>
      </c>
    </row>
    <row r="167" spans="1:11" ht="24.95" customHeight="1">
      <c r="A167" s="1219">
        <v>5</v>
      </c>
      <c r="B167" s="1220" t="s">
        <v>1</v>
      </c>
      <c r="C167" s="1221" t="s">
        <v>1383</v>
      </c>
      <c r="D167" s="1222"/>
      <c r="E167" s="1223">
        <v>2003</v>
      </c>
      <c r="F167" s="1224" t="s">
        <v>1512</v>
      </c>
      <c r="G167" s="1225" t="s">
        <v>1449</v>
      </c>
      <c r="H167" s="1219">
        <v>5</v>
      </c>
      <c r="I167" s="1226" t="str">
        <f t="shared" si="8"/>
        <v xml:space="preserve"> </v>
      </c>
      <c r="J167" s="1227" t="str">
        <f t="shared" si="9"/>
        <v xml:space="preserve"> </v>
      </c>
      <c r="K167" s="674" t="str">
        <f t="shared" si="10"/>
        <v xml:space="preserve"> </v>
      </c>
    </row>
    <row r="168" spans="1:11" ht="24.95" customHeight="1">
      <c r="A168" s="1219">
        <v>6</v>
      </c>
      <c r="B168" s="1220" t="s">
        <v>29</v>
      </c>
      <c r="C168" s="1221" t="s">
        <v>1406</v>
      </c>
      <c r="D168" s="1222"/>
      <c r="E168" s="1223">
        <v>2004</v>
      </c>
      <c r="F168" s="1224" t="s">
        <v>553</v>
      </c>
      <c r="G168" s="1225" t="s">
        <v>1450</v>
      </c>
      <c r="H168" s="1219">
        <v>6</v>
      </c>
      <c r="I168" s="1226" t="str">
        <f t="shared" si="8"/>
        <v xml:space="preserve"> </v>
      </c>
      <c r="J168" s="1227" t="str">
        <f t="shared" si="9"/>
        <v xml:space="preserve"> </v>
      </c>
      <c r="K168" s="674" t="str">
        <f t="shared" si="10"/>
        <v xml:space="preserve"> </v>
      </c>
    </row>
    <row r="169" spans="1:11" ht="24.95" customHeight="1">
      <c r="A169" s="1219">
        <v>7</v>
      </c>
      <c r="B169" s="1220" t="s">
        <v>1</v>
      </c>
      <c r="C169" s="1221" t="s">
        <v>1419</v>
      </c>
      <c r="D169" s="1222"/>
      <c r="E169" s="1223">
        <v>2005</v>
      </c>
      <c r="F169" s="1224" t="s">
        <v>1445</v>
      </c>
      <c r="G169" s="1225" t="s">
        <v>1450</v>
      </c>
      <c r="H169" s="1219">
        <v>7</v>
      </c>
      <c r="I169" s="1226" t="str">
        <f t="shared" si="8"/>
        <v xml:space="preserve"> </v>
      </c>
      <c r="J169" s="1227" t="str">
        <f t="shared" si="9"/>
        <v xml:space="preserve"> </v>
      </c>
      <c r="K169" s="674" t="str">
        <f t="shared" si="10"/>
        <v xml:space="preserve"> </v>
      </c>
    </row>
    <row r="170" spans="1:11" ht="24.95" customHeight="1">
      <c r="A170" s="1219">
        <v>8</v>
      </c>
      <c r="B170" s="1220"/>
      <c r="C170" s="1221"/>
      <c r="D170" s="1222"/>
      <c r="E170" s="1223"/>
      <c r="F170" s="1224"/>
      <c r="G170" s="1225"/>
      <c r="H170" s="1219">
        <v>8</v>
      </c>
      <c r="I170" s="1226" t="str">
        <f t="shared" si="8"/>
        <v xml:space="preserve"> </v>
      </c>
      <c r="J170" s="1227" t="str">
        <f t="shared" si="9"/>
        <v xml:space="preserve"> </v>
      </c>
      <c r="K170" s="674" t="str">
        <f t="shared" si="10"/>
        <v xml:space="preserve"> </v>
      </c>
    </row>
    <row r="171" spans="1:11" ht="24.95" customHeight="1">
      <c r="A171" s="1219"/>
      <c r="B171" s="1220"/>
      <c r="C171" s="1221"/>
      <c r="D171" s="1222"/>
      <c r="E171" s="1223" t="s">
        <v>1397</v>
      </c>
      <c r="F171" s="1224"/>
      <c r="G171" s="1225"/>
      <c r="H171" s="1219"/>
      <c r="I171" s="1226" t="str">
        <f t="shared" si="8"/>
        <v xml:space="preserve"> </v>
      </c>
      <c r="J171" s="1227" t="str">
        <f t="shared" si="9"/>
        <v xml:space="preserve"> </v>
      </c>
      <c r="K171" s="674" t="str">
        <f t="shared" si="10"/>
        <v xml:space="preserve"> </v>
      </c>
    </row>
    <row r="172" spans="1:11" ht="24.95" customHeight="1">
      <c r="A172" s="1219">
        <v>1</v>
      </c>
      <c r="B172" s="1220"/>
      <c r="C172" s="1221"/>
      <c r="D172" s="1222"/>
      <c r="E172" s="1223"/>
      <c r="F172" s="1224"/>
      <c r="G172" s="1225"/>
      <c r="H172" s="1219">
        <v>1</v>
      </c>
      <c r="I172" s="1226" t="str">
        <f t="shared" si="8"/>
        <v xml:space="preserve"> </v>
      </c>
      <c r="J172" s="1227" t="str">
        <f t="shared" si="9"/>
        <v xml:space="preserve"> </v>
      </c>
      <c r="K172" s="674" t="str">
        <f t="shared" si="10"/>
        <v xml:space="preserve"> </v>
      </c>
    </row>
    <row r="173" spans="1:11" ht="24.95" customHeight="1">
      <c r="A173" s="1219">
        <v>2</v>
      </c>
      <c r="B173" s="1220" t="s">
        <v>27</v>
      </c>
      <c r="C173" s="1221" t="s">
        <v>1425</v>
      </c>
      <c r="D173" s="1222"/>
      <c r="E173" s="1223">
        <v>1997</v>
      </c>
      <c r="F173" s="1224" t="s">
        <v>1360</v>
      </c>
      <c r="G173" s="1225" t="s">
        <v>1450</v>
      </c>
      <c r="H173" s="1219">
        <v>2</v>
      </c>
      <c r="I173" s="1226" t="str">
        <f t="shared" si="8"/>
        <v xml:space="preserve"> </v>
      </c>
      <c r="J173" s="1227" t="str">
        <f t="shared" si="9"/>
        <v xml:space="preserve"> </v>
      </c>
      <c r="K173" s="674" t="str">
        <f t="shared" si="10"/>
        <v xml:space="preserve"> </v>
      </c>
    </row>
    <row r="174" spans="1:11" ht="24.95" customHeight="1">
      <c r="A174" s="1219">
        <v>3</v>
      </c>
      <c r="B174" s="1220" t="s">
        <v>29</v>
      </c>
      <c r="C174" s="1221" t="s">
        <v>1510</v>
      </c>
      <c r="D174" s="1222"/>
      <c r="E174" s="1223">
        <v>2003</v>
      </c>
      <c r="F174" s="1224" t="s">
        <v>1511</v>
      </c>
      <c r="G174" s="1225" t="s">
        <v>1449</v>
      </c>
      <c r="H174" s="1219">
        <v>3</v>
      </c>
      <c r="I174" s="1226" t="str">
        <f t="shared" si="8"/>
        <v xml:space="preserve"> </v>
      </c>
      <c r="J174" s="1227" t="str">
        <f t="shared" si="9"/>
        <v xml:space="preserve"> </v>
      </c>
      <c r="K174" s="674" t="str">
        <f t="shared" si="10"/>
        <v xml:space="preserve"> </v>
      </c>
    </row>
    <row r="175" spans="1:11" ht="24.95" customHeight="1">
      <c r="A175" s="1219">
        <v>4</v>
      </c>
      <c r="B175" s="1220" t="s">
        <v>27</v>
      </c>
      <c r="C175" s="1221" t="s">
        <v>1501</v>
      </c>
      <c r="D175" s="1222"/>
      <c r="E175" s="1223">
        <v>1998</v>
      </c>
      <c r="F175" s="1224" t="s">
        <v>1431</v>
      </c>
      <c r="G175" s="1225" t="s">
        <v>1447</v>
      </c>
      <c r="H175" s="1219">
        <v>4</v>
      </c>
      <c r="I175" s="1226" t="str">
        <f t="shared" si="8"/>
        <v xml:space="preserve"> </v>
      </c>
      <c r="J175" s="1227" t="str">
        <f t="shared" si="9"/>
        <v xml:space="preserve"> </v>
      </c>
      <c r="K175" s="674" t="str">
        <f t="shared" si="10"/>
        <v xml:space="preserve"> </v>
      </c>
    </row>
    <row r="176" spans="1:11" ht="24.95" customHeight="1">
      <c r="A176" s="1219">
        <v>5</v>
      </c>
      <c r="B176" s="1220" t="s">
        <v>29</v>
      </c>
      <c r="C176" s="1221" t="s">
        <v>1503</v>
      </c>
      <c r="D176" s="1222"/>
      <c r="E176" s="1223">
        <v>2002</v>
      </c>
      <c r="F176" s="1224" t="s">
        <v>1502</v>
      </c>
      <c r="G176" s="1225" t="s">
        <v>1442</v>
      </c>
      <c r="H176" s="1219">
        <v>5</v>
      </c>
      <c r="I176" s="1226" t="str">
        <f t="shared" si="8"/>
        <v xml:space="preserve"> </v>
      </c>
      <c r="J176" s="1227" t="str">
        <f t="shared" si="9"/>
        <v xml:space="preserve"> </v>
      </c>
      <c r="K176" s="674" t="str">
        <f t="shared" si="10"/>
        <v xml:space="preserve"> </v>
      </c>
    </row>
    <row r="177" spans="1:11" ht="24.95" customHeight="1">
      <c r="A177" s="1219">
        <v>6</v>
      </c>
      <c r="B177" s="1220" t="s">
        <v>27</v>
      </c>
      <c r="C177" s="1221" t="s">
        <v>1374</v>
      </c>
      <c r="D177" s="1222"/>
      <c r="E177" s="1223">
        <v>2003</v>
      </c>
      <c r="F177" s="1224" t="s">
        <v>1431</v>
      </c>
      <c r="G177" s="1225" t="s">
        <v>1447</v>
      </c>
      <c r="H177" s="1219">
        <v>6</v>
      </c>
      <c r="I177" s="1226" t="str">
        <f t="shared" si="8"/>
        <v xml:space="preserve"> </v>
      </c>
      <c r="J177" s="1227" t="str">
        <f t="shared" si="9"/>
        <v xml:space="preserve"> </v>
      </c>
      <c r="K177" s="674" t="str">
        <f t="shared" si="10"/>
        <v xml:space="preserve"> </v>
      </c>
    </row>
    <row r="178" spans="1:11" ht="24.95" customHeight="1">
      <c r="A178" s="1219">
        <v>7</v>
      </c>
      <c r="B178" s="1220" t="s">
        <v>27</v>
      </c>
      <c r="C178" s="1221" t="s">
        <v>627</v>
      </c>
      <c r="D178" s="1222"/>
      <c r="E178" s="1223">
        <v>1997</v>
      </c>
      <c r="F178" s="1224" t="s">
        <v>1360</v>
      </c>
      <c r="G178" s="1225" t="s">
        <v>1450</v>
      </c>
      <c r="H178" s="1219">
        <v>7</v>
      </c>
      <c r="I178" s="1226" t="str">
        <f t="shared" si="8"/>
        <v xml:space="preserve"> </v>
      </c>
      <c r="J178" s="1227" t="str">
        <f t="shared" si="9"/>
        <v xml:space="preserve"> </v>
      </c>
      <c r="K178" s="674" t="str">
        <f t="shared" si="10"/>
        <v xml:space="preserve"> </v>
      </c>
    </row>
    <row r="179" spans="1:11" ht="24.95" customHeight="1">
      <c r="A179" s="1219">
        <v>8</v>
      </c>
      <c r="B179" s="1220" t="s">
        <v>27</v>
      </c>
      <c r="C179" s="1221" t="s">
        <v>1417</v>
      </c>
      <c r="D179" s="1222"/>
      <c r="E179" s="1223">
        <v>2003</v>
      </c>
      <c r="F179" s="1224" t="s">
        <v>1433</v>
      </c>
      <c r="G179" s="1225" t="s">
        <v>1449</v>
      </c>
      <c r="H179" s="1219">
        <v>8</v>
      </c>
      <c r="I179" s="1226" t="str">
        <f t="shared" si="8"/>
        <v xml:space="preserve"> </v>
      </c>
      <c r="J179" s="1227" t="str">
        <f t="shared" si="9"/>
        <v xml:space="preserve"> </v>
      </c>
      <c r="K179" s="674" t="str">
        <f t="shared" si="10"/>
        <v xml:space="preserve"> </v>
      </c>
    </row>
    <row r="180" spans="1:11" ht="24.95" customHeight="1">
      <c r="A180" s="1219"/>
      <c r="B180" s="1220"/>
      <c r="C180" s="1221"/>
      <c r="D180" s="1222"/>
      <c r="E180" s="1223"/>
      <c r="F180" s="1224"/>
      <c r="G180" s="1225"/>
      <c r="H180" s="1219"/>
      <c r="I180" s="1226" t="str">
        <f t="shared" si="8"/>
        <v xml:space="preserve"> </v>
      </c>
      <c r="J180" s="1227" t="str">
        <f t="shared" si="9"/>
        <v xml:space="preserve"> </v>
      </c>
      <c r="K180" s="674" t="str">
        <f t="shared" si="10"/>
        <v xml:space="preserve"> </v>
      </c>
    </row>
    <row r="181" spans="1:11" ht="24.95" customHeight="1">
      <c r="A181" s="1219"/>
      <c r="B181" s="1220"/>
      <c r="C181" s="1221"/>
      <c r="D181" s="1222"/>
      <c r="E181" s="1223" t="s">
        <v>1398</v>
      </c>
      <c r="F181" s="1224"/>
      <c r="G181" s="1225"/>
      <c r="H181" s="1219"/>
      <c r="I181" s="1226" t="str">
        <f t="shared" si="8"/>
        <v xml:space="preserve"> </v>
      </c>
      <c r="J181" s="1227" t="str">
        <f t="shared" si="9"/>
        <v xml:space="preserve"> </v>
      </c>
      <c r="K181" s="674" t="str">
        <f t="shared" si="10"/>
        <v xml:space="preserve"> </v>
      </c>
    </row>
    <row r="182" spans="1:11" ht="24.95" customHeight="1">
      <c r="A182" s="1219">
        <v>1</v>
      </c>
      <c r="B182" s="1220"/>
      <c r="C182" s="1221"/>
      <c r="D182" s="1222"/>
      <c r="E182" s="1223"/>
      <c r="F182" s="1224"/>
      <c r="G182" s="1225"/>
      <c r="H182" s="1219">
        <v>1</v>
      </c>
      <c r="I182" s="1226" t="str">
        <f t="shared" si="8"/>
        <v xml:space="preserve"> </v>
      </c>
      <c r="J182" s="1227" t="str">
        <f t="shared" si="9"/>
        <v xml:space="preserve"> </v>
      </c>
      <c r="K182" s="674" t="str">
        <f t="shared" si="10"/>
        <v xml:space="preserve"> </v>
      </c>
    </row>
    <row r="183" spans="1:11" ht="24.95" customHeight="1">
      <c r="A183" s="1219">
        <v>2</v>
      </c>
      <c r="B183" s="1220" t="s">
        <v>29</v>
      </c>
      <c r="C183" s="1221" t="s">
        <v>1379</v>
      </c>
      <c r="D183" s="1222"/>
      <c r="E183" s="1223">
        <v>2004</v>
      </c>
      <c r="F183" s="1224" t="s">
        <v>1448</v>
      </c>
      <c r="G183" s="1225" t="s">
        <v>1450</v>
      </c>
      <c r="H183" s="1219">
        <v>2</v>
      </c>
      <c r="I183" s="1226" t="str">
        <f t="shared" si="8"/>
        <v xml:space="preserve"> </v>
      </c>
      <c r="J183" s="1227" t="str">
        <f t="shared" si="9"/>
        <v xml:space="preserve"> </v>
      </c>
      <c r="K183" s="674" t="str">
        <f t="shared" si="10"/>
        <v xml:space="preserve"> </v>
      </c>
    </row>
    <row r="184" spans="1:11" ht="24.95" customHeight="1">
      <c r="A184" s="1219">
        <v>3</v>
      </c>
      <c r="B184" s="1220" t="s">
        <v>29</v>
      </c>
      <c r="C184" s="1221" t="s">
        <v>1496</v>
      </c>
      <c r="D184" s="1222"/>
      <c r="E184" s="1223">
        <v>2001</v>
      </c>
      <c r="F184" s="1224" t="s">
        <v>1431</v>
      </c>
      <c r="G184" s="1225" t="s">
        <v>1447</v>
      </c>
      <c r="H184" s="1219">
        <v>3</v>
      </c>
      <c r="I184" s="1226" t="str">
        <f t="shared" si="8"/>
        <v xml:space="preserve"> </v>
      </c>
      <c r="J184" s="1227" t="str">
        <f t="shared" si="9"/>
        <v xml:space="preserve"> </v>
      </c>
      <c r="K184" s="674" t="str">
        <f t="shared" si="10"/>
        <v xml:space="preserve"> </v>
      </c>
    </row>
    <row r="185" spans="1:11" ht="24.95" customHeight="1">
      <c r="A185" s="1219">
        <v>4</v>
      </c>
      <c r="B185" s="1220" t="s">
        <v>27</v>
      </c>
      <c r="C185" s="1221" t="s">
        <v>1381</v>
      </c>
      <c r="D185" s="1222"/>
      <c r="E185" s="1223">
        <v>2005</v>
      </c>
      <c r="F185" s="1224" t="s">
        <v>1360</v>
      </c>
      <c r="G185" s="1225" t="s">
        <v>1450</v>
      </c>
      <c r="H185" s="1219">
        <v>4</v>
      </c>
      <c r="I185" s="1226" t="str">
        <f t="shared" si="8"/>
        <v xml:space="preserve"> </v>
      </c>
      <c r="J185" s="1227" t="str">
        <f t="shared" si="9"/>
        <v xml:space="preserve"> </v>
      </c>
      <c r="K185" s="674" t="str">
        <f t="shared" si="10"/>
        <v xml:space="preserve"> </v>
      </c>
    </row>
    <row r="186" spans="1:11" ht="24.95" customHeight="1">
      <c r="A186" s="1219">
        <v>5</v>
      </c>
      <c r="B186" s="1220" t="s">
        <v>29</v>
      </c>
      <c r="C186" s="1221" t="s">
        <v>1384</v>
      </c>
      <c r="D186" s="1222"/>
      <c r="E186" s="1223">
        <v>2004</v>
      </c>
      <c r="F186" s="1224" t="s">
        <v>553</v>
      </c>
      <c r="G186" s="1225" t="s">
        <v>1450</v>
      </c>
      <c r="H186" s="1219">
        <v>5</v>
      </c>
      <c r="I186" s="1226" t="str">
        <f t="shared" si="8"/>
        <v xml:space="preserve"> </v>
      </c>
      <c r="J186" s="1227" t="str">
        <f t="shared" si="9"/>
        <v xml:space="preserve"> </v>
      </c>
      <c r="K186" s="674" t="str">
        <f t="shared" si="10"/>
        <v xml:space="preserve"> </v>
      </c>
    </row>
    <row r="187" spans="1:11" ht="24.95" customHeight="1">
      <c r="A187" s="1219">
        <v>6</v>
      </c>
      <c r="B187" s="1220" t="s">
        <v>27</v>
      </c>
      <c r="C187" s="1221" t="s">
        <v>1508</v>
      </c>
      <c r="D187" s="1222"/>
      <c r="E187" s="1223">
        <v>2003</v>
      </c>
      <c r="F187" s="1224" t="s">
        <v>1443</v>
      </c>
      <c r="G187" s="1225" t="s">
        <v>1442</v>
      </c>
      <c r="H187" s="1219">
        <v>6</v>
      </c>
      <c r="I187" s="1226" t="str">
        <f t="shared" si="8"/>
        <v xml:space="preserve"> </v>
      </c>
      <c r="J187" s="1227" t="str">
        <f t="shared" si="9"/>
        <v xml:space="preserve"> </v>
      </c>
      <c r="K187" s="674" t="str">
        <f t="shared" si="10"/>
        <v xml:space="preserve"> </v>
      </c>
    </row>
    <row r="188" spans="1:11" ht="24.95" customHeight="1">
      <c r="A188" s="1219">
        <v>7</v>
      </c>
      <c r="B188" s="1220" t="s">
        <v>1</v>
      </c>
      <c r="C188" s="1221" t="s">
        <v>1509</v>
      </c>
      <c r="D188" s="1222"/>
      <c r="E188" s="1223">
        <v>2000</v>
      </c>
      <c r="F188" s="1224" t="s">
        <v>1443</v>
      </c>
      <c r="G188" s="1225" t="s">
        <v>1442</v>
      </c>
      <c r="H188" s="1219">
        <v>7</v>
      </c>
      <c r="I188" s="1226" t="str">
        <f t="shared" si="8"/>
        <v xml:space="preserve"> </v>
      </c>
      <c r="J188" s="1227" t="str">
        <f t="shared" si="9"/>
        <v xml:space="preserve"> </v>
      </c>
      <c r="K188" s="674" t="str">
        <f t="shared" si="10"/>
        <v xml:space="preserve"> </v>
      </c>
    </row>
    <row r="189" spans="1:11" ht="24.95" customHeight="1">
      <c r="A189" s="1219">
        <v>8</v>
      </c>
      <c r="B189" s="1220"/>
      <c r="C189" s="1221"/>
      <c r="D189" s="1222"/>
      <c r="E189" s="1223"/>
      <c r="F189" s="1224"/>
      <c r="G189" s="1225"/>
      <c r="H189" s="1219">
        <v>8</v>
      </c>
      <c r="I189" s="1226" t="str">
        <f t="shared" si="8"/>
        <v xml:space="preserve"> </v>
      </c>
      <c r="J189" s="1227" t="str">
        <f t="shared" si="9"/>
        <v xml:space="preserve"> </v>
      </c>
      <c r="K189" s="674" t="str">
        <f t="shared" si="10"/>
        <v xml:space="preserve"> </v>
      </c>
    </row>
    <row r="190" spans="1:11" ht="24.95" customHeight="1">
      <c r="A190" s="1219"/>
      <c r="B190" s="1220"/>
      <c r="C190" s="1221"/>
      <c r="D190" s="1222"/>
      <c r="E190" s="1223"/>
      <c r="F190" s="1224"/>
      <c r="G190" s="1225"/>
      <c r="H190" s="1219"/>
      <c r="I190" s="1226"/>
      <c r="J190" s="1227"/>
      <c r="K190" s="674"/>
    </row>
    <row r="191" spans="1:11" ht="24.95" customHeight="1">
      <c r="A191" s="1219"/>
      <c r="B191" s="1220"/>
      <c r="C191" s="1221"/>
      <c r="D191" s="1222"/>
      <c r="E191" s="1223"/>
      <c r="F191" s="1224"/>
      <c r="G191" s="1225"/>
      <c r="H191" s="1219"/>
      <c r="I191" s="1226"/>
      <c r="J191" s="1227"/>
      <c r="K191" s="674"/>
    </row>
    <row r="192" spans="1:11" ht="24.95" customHeight="1">
      <c r="A192" s="1219"/>
      <c r="B192" s="1220"/>
      <c r="C192" s="1221"/>
      <c r="D192" s="1222"/>
      <c r="E192" s="1223"/>
      <c r="F192" s="1224"/>
      <c r="G192" s="1225"/>
      <c r="H192" s="1219"/>
      <c r="I192" s="1226"/>
      <c r="J192" s="1227"/>
      <c r="K192" s="674"/>
    </row>
    <row r="193" spans="1:11" ht="24.95" customHeight="1">
      <c r="A193" s="1219"/>
      <c r="B193" s="1220"/>
      <c r="C193" s="1221"/>
      <c r="D193" s="1222"/>
      <c r="E193" s="1223" t="s">
        <v>1399</v>
      </c>
      <c r="F193" s="1224"/>
      <c r="G193" s="1225"/>
      <c r="H193" s="1219"/>
      <c r="I193" s="1226" t="str">
        <f t="shared" si="8"/>
        <v xml:space="preserve"> </v>
      </c>
      <c r="J193" s="1227" t="str">
        <f t="shared" si="9"/>
        <v xml:space="preserve"> </v>
      </c>
      <c r="K193" s="674" t="str">
        <f t="shared" si="10"/>
        <v xml:space="preserve"> </v>
      </c>
    </row>
    <row r="194" spans="1:11" ht="24.95" customHeight="1">
      <c r="A194" s="1219">
        <v>1</v>
      </c>
      <c r="B194" s="1220"/>
      <c r="C194" s="1221"/>
      <c r="D194" s="1222"/>
      <c r="E194" s="1223"/>
      <c r="F194" s="1224"/>
      <c r="G194" s="1225"/>
      <c r="H194" s="1219">
        <v>1</v>
      </c>
      <c r="I194" s="1226" t="str">
        <f t="shared" si="8"/>
        <v xml:space="preserve"> </v>
      </c>
      <c r="J194" s="1227" t="str">
        <f t="shared" si="9"/>
        <v xml:space="preserve"> </v>
      </c>
      <c r="K194" s="674" t="str">
        <f t="shared" si="10"/>
        <v xml:space="preserve"> </v>
      </c>
    </row>
    <row r="195" spans="1:11" ht="24.95" customHeight="1">
      <c r="A195" s="1219">
        <v>2</v>
      </c>
      <c r="B195" s="1220" t="s">
        <v>23</v>
      </c>
      <c r="C195" s="1221" t="s">
        <v>1380</v>
      </c>
      <c r="D195" s="1222"/>
      <c r="E195" s="1223">
        <v>1995</v>
      </c>
      <c r="F195" s="1224" t="s">
        <v>1431</v>
      </c>
      <c r="G195" s="1225" t="s">
        <v>1449</v>
      </c>
      <c r="H195" s="1219">
        <v>2</v>
      </c>
      <c r="I195" s="1226" t="str">
        <f t="shared" si="8"/>
        <v xml:space="preserve"> </v>
      </c>
      <c r="J195" s="1227" t="str">
        <f t="shared" si="9"/>
        <v xml:space="preserve"> </v>
      </c>
      <c r="K195" s="674" t="str">
        <f t="shared" si="10"/>
        <v xml:space="preserve"> </v>
      </c>
    </row>
    <row r="196" spans="1:11" ht="24.95" customHeight="1">
      <c r="A196" s="1219">
        <v>3</v>
      </c>
      <c r="B196" s="1220" t="s">
        <v>27</v>
      </c>
      <c r="C196" s="1221" t="s">
        <v>1349</v>
      </c>
      <c r="D196" s="1222"/>
      <c r="E196" s="1223">
        <v>2003</v>
      </c>
      <c r="F196" s="1224" t="s">
        <v>1431</v>
      </c>
      <c r="G196" s="1225" t="s">
        <v>1447</v>
      </c>
      <c r="H196" s="1219">
        <v>3</v>
      </c>
      <c r="I196" s="1226" t="str">
        <f t="shared" si="8"/>
        <v xml:space="preserve"> </v>
      </c>
      <c r="J196" s="1227" t="str">
        <f t="shared" si="9"/>
        <v xml:space="preserve"> </v>
      </c>
      <c r="K196" s="674" t="str">
        <f t="shared" si="10"/>
        <v xml:space="preserve"> </v>
      </c>
    </row>
    <row r="197" spans="1:11" ht="24.95" customHeight="1">
      <c r="A197" s="1219">
        <v>4</v>
      </c>
      <c r="B197" s="1220" t="s">
        <v>27</v>
      </c>
      <c r="C197" s="1221" t="s">
        <v>1522</v>
      </c>
      <c r="D197" s="1222"/>
      <c r="E197" s="1223">
        <v>1995</v>
      </c>
      <c r="F197" s="1224" t="s">
        <v>553</v>
      </c>
      <c r="G197" s="1225" t="s">
        <v>1450</v>
      </c>
      <c r="H197" s="1219">
        <v>4</v>
      </c>
      <c r="I197" s="1226" t="str">
        <f t="shared" si="8"/>
        <v xml:space="preserve"> </v>
      </c>
      <c r="J197" s="1227" t="str">
        <f t="shared" si="9"/>
        <v xml:space="preserve"> </v>
      </c>
      <c r="K197" s="674" t="str">
        <f t="shared" si="10"/>
        <v xml:space="preserve"> </v>
      </c>
    </row>
    <row r="198" spans="1:11" ht="24.95" customHeight="1">
      <c r="A198" s="1219">
        <v>5</v>
      </c>
      <c r="B198" s="1220" t="s">
        <v>27</v>
      </c>
      <c r="C198" s="1221" t="s">
        <v>1523</v>
      </c>
      <c r="D198" s="1222"/>
      <c r="E198" s="1223">
        <v>1997</v>
      </c>
      <c r="F198" s="1224" t="s">
        <v>553</v>
      </c>
      <c r="G198" s="1225" t="s">
        <v>1450</v>
      </c>
      <c r="H198" s="1219">
        <v>5</v>
      </c>
      <c r="I198" s="1226" t="str">
        <f t="shared" si="8"/>
        <v xml:space="preserve"> </v>
      </c>
      <c r="J198" s="1227" t="str">
        <f t="shared" si="9"/>
        <v xml:space="preserve"> </v>
      </c>
      <c r="K198" s="674" t="str">
        <f t="shared" si="10"/>
        <v xml:space="preserve"> </v>
      </c>
    </row>
    <row r="199" spans="1:11" ht="24.95" customHeight="1">
      <c r="A199" s="1219">
        <v>6</v>
      </c>
      <c r="B199" s="1220" t="s">
        <v>25</v>
      </c>
      <c r="C199" s="1221" t="s">
        <v>1516</v>
      </c>
      <c r="D199" s="1222"/>
      <c r="E199" s="1223">
        <v>1997</v>
      </c>
      <c r="F199" s="1224" t="s">
        <v>1360</v>
      </c>
      <c r="G199" s="1225" t="s">
        <v>1450</v>
      </c>
      <c r="H199" s="1219">
        <v>6</v>
      </c>
      <c r="I199" s="1226" t="str">
        <f t="shared" si="8"/>
        <v xml:space="preserve"> </v>
      </c>
      <c r="J199" s="1227" t="str">
        <f t="shared" si="9"/>
        <v xml:space="preserve"> </v>
      </c>
      <c r="K199" s="674" t="str">
        <f t="shared" si="10"/>
        <v xml:space="preserve"> </v>
      </c>
    </row>
    <row r="200" spans="1:11" ht="24.95" customHeight="1">
      <c r="A200" s="1219">
        <v>7</v>
      </c>
      <c r="B200" s="1220" t="s">
        <v>27</v>
      </c>
      <c r="C200" s="1221" t="s">
        <v>1408</v>
      </c>
      <c r="D200" s="1222"/>
      <c r="E200" s="1223">
        <v>2001</v>
      </c>
      <c r="F200" s="1224" t="s">
        <v>1431</v>
      </c>
      <c r="G200" s="1225" t="s">
        <v>1447</v>
      </c>
      <c r="H200" s="1219">
        <v>7</v>
      </c>
      <c r="I200" s="1226" t="str">
        <f t="shared" si="8"/>
        <v xml:space="preserve"> </v>
      </c>
      <c r="J200" s="1227" t="str">
        <f t="shared" si="9"/>
        <v xml:space="preserve"> </v>
      </c>
      <c r="K200" s="674" t="str">
        <f t="shared" si="10"/>
        <v xml:space="preserve"> </v>
      </c>
    </row>
    <row r="201" spans="1:11" ht="24.95" customHeight="1">
      <c r="A201" s="1219">
        <v>8</v>
      </c>
      <c r="B201" s="1220"/>
      <c r="C201" s="1221"/>
      <c r="D201" s="1222"/>
      <c r="E201" s="1223"/>
      <c r="F201" s="1224"/>
      <c r="G201" s="1225"/>
      <c r="H201" s="1219">
        <v>8</v>
      </c>
      <c r="I201" s="1226" t="str">
        <f t="shared" si="8"/>
        <v xml:space="preserve"> </v>
      </c>
      <c r="J201" s="1227" t="str">
        <f t="shared" si="9"/>
        <v xml:space="preserve"> </v>
      </c>
      <c r="K201" s="674" t="str">
        <f t="shared" si="10"/>
        <v xml:space="preserve"> </v>
      </c>
    </row>
    <row r="202" spans="1:11" ht="24.95" customHeight="1">
      <c r="A202" s="1219"/>
      <c r="B202" s="1220"/>
      <c r="C202" s="1221" t="s">
        <v>1525</v>
      </c>
      <c r="D202" s="1222"/>
      <c r="E202" s="1223"/>
      <c r="F202" s="1224"/>
      <c r="G202" s="1225"/>
      <c r="H202" s="1219"/>
      <c r="I202" s="1226" t="str">
        <f t="shared" si="8"/>
        <v xml:space="preserve"> </v>
      </c>
      <c r="J202" s="1227" t="str">
        <f t="shared" si="9"/>
        <v xml:space="preserve"> </v>
      </c>
      <c r="K202" s="674" t="str">
        <f t="shared" si="10"/>
        <v xml:space="preserve"> </v>
      </c>
    </row>
    <row r="203" spans="1:11" ht="24.95" customHeight="1">
      <c r="A203" s="1219"/>
      <c r="B203" s="1220"/>
      <c r="C203" s="1221"/>
      <c r="D203" s="1222"/>
      <c r="E203" s="1223"/>
      <c r="F203" s="1224"/>
      <c r="G203" s="1225"/>
      <c r="H203" s="1219"/>
      <c r="I203" s="1226" t="str">
        <f t="shared" si="8"/>
        <v xml:space="preserve"> </v>
      </c>
      <c r="J203" s="1227" t="str">
        <f t="shared" si="9"/>
        <v xml:space="preserve"> </v>
      </c>
      <c r="K203" s="674" t="str">
        <f t="shared" si="10"/>
        <v xml:space="preserve"> </v>
      </c>
    </row>
    <row r="204" spans="1:11" ht="24.95" customHeight="1">
      <c r="A204" s="1219"/>
      <c r="B204" s="1220"/>
      <c r="C204" s="1221"/>
      <c r="D204" s="1222"/>
      <c r="E204" s="1223" t="s">
        <v>1400</v>
      </c>
      <c r="F204" s="1224"/>
      <c r="G204" s="1225"/>
      <c r="H204" s="1219"/>
      <c r="I204" s="1226" t="str">
        <f t="shared" si="8"/>
        <v xml:space="preserve"> </v>
      </c>
      <c r="J204" s="1227" t="str">
        <f t="shared" si="9"/>
        <v xml:space="preserve"> </v>
      </c>
      <c r="K204" s="674" t="str">
        <f t="shared" si="10"/>
        <v xml:space="preserve"> </v>
      </c>
    </row>
    <row r="205" spans="1:11" ht="24.95" customHeight="1">
      <c r="A205" s="1219">
        <v>1</v>
      </c>
      <c r="B205" s="1220" t="s">
        <v>29</v>
      </c>
      <c r="C205" s="1221" t="s">
        <v>1365</v>
      </c>
      <c r="D205" s="1222"/>
      <c r="E205" s="1223">
        <v>2006</v>
      </c>
      <c r="F205" s="1224" t="s">
        <v>553</v>
      </c>
      <c r="G205" s="1225" t="s">
        <v>1450</v>
      </c>
      <c r="H205" s="1219">
        <v>1</v>
      </c>
      <c r="I205" s="1226" t="str">
        <f t="shared" si="8"/>
        <v xml:space="preserve"> </v>
      </c>
      <c r="J205" s="1227" t="str">
        <f t="shared" si="9"/>
        <v xml:space="preserve"> </v>
      </c>
      <c r="K205" s="674" t="str">
        <f t="shared" si="10"/>
        <v xml:space="preserve"> </v>
      </c>
    </row>
    <row r="206" spans="1:11" ht="24.95" customHeight="1">
      <c r="A206" s="1219">
        <v>2</v>
      </c>
      <c r="B206" s="1220" t="s">
        <v>29</v>
      </c>
      <c r="C206" s="1221" t="s">
        <v>1444</v>
      </c>
      <c r="D206" s="1222"/>
      <c r="E206" s="1223">
        <v>2006</v>
      </c>
      <c r="F206" s="1224" t="s">
        <v>1445</v>
      </c>
      <c r="G206" s="1225" t="s">
        <v>1446</v>
      </c>
      <c r="H206" s="1219">
        <v>2</v>
      </c>
      <c r="I206" s="1226" t="str">
        <f t="shared" si="8"/>
        <v xml:space="preserve"> </v>
      </c>
      <c r="J206" s="1227" t="str">
        <f t="shared" si="9"/>
        <v xml:space="preserve"> </v>
      </c>
      <c r="K206" s="674" t="str">
        <f t="shared" si="10"/>
        <v xml:space="preserve"> </v>
      </c>
    </row>
    <row r="207" spans="1:11" ht="24.95" customHeight="1">
      <c r="A207" s="1219">
        <v>3</v>
      </c>
      <c r="B207" s="1220" t="s">
        <v>25</v>
      </c>
      <c r="C207" s="1221" t="s">
        <v>554</v>
      </c>
      <c r="D207" s="1222"/>
      <c r="E207" s="1223">
        <v>1995</v>
      </c>
      <c r="F207" s="1224" t="s">
        <v>1430</v>
      </c>
      <c r="G207" s="1225" t="s">
        <v>1449</v>
      </c>
      <c r="H207" s="1219">
        <v>3</v>
      </c>
      <c r="I207" s="1226" t="str">
        <f t="shared" si="8"/>
        <v xml:space="preserve"> </v>
      </c>
      <c r="J207" s="1227" t="str">
        <f t="shared" si="9"/>
        <v xml:space="preserve"> </v>
      </c>
      <c r="K207" s="674" t="str">
        <f t="shared" si="10"/>
        <v xml:space="preserve"> </v>
      </c>
    </row>
    <row r="208" spans="1:11" ht="24.95" customHeight="1">
      <c r="A208" s="1219">
        <v>4</v>
      </c>
      <c r="B208" s="1220" t="s">
        <v>1</v>
      </c>
      <c r="C208" s="1221" t="s">
        <v>1524</v>
      </c>
      <c r="D208" s="1222"/>
      <c r="E208" s="1223">
        <v>2003</v>
      </c>
      <c r="F208" s="1224" t="s">
        <v>553</v>
      </c>
      <c r="G208" s="1225" t="s">
        <v>1449</v>
      </c>
      <c r="H208" s="1219">
        <v>4</v>
      </c>
      <c r="I208" s="1226" t="str">
        <f t="shared" si="8"/>
        <v xml:space="preserve"> </v>
      </c>
      <c r="J208" s="1227" t="str">
        <f t="shared" si="9"/>
        <v xml:space="preserve"> </v>
      </c>
      <c r="K208" s="674" t="str">
        <f t="shared" si="10"/>
        <v xml:space="preserve"> </v>
      </c>
    </row>
    <row r="209" spans="1:11" ht="24.95" customHeight="1">
      <c r="A209" s="1219">
        <v>5</v>
      </c>
      <c r="B209" s="1220" t="s">
        <v>29</v>
      </c>
      <c r="C209" s="1221" t="s">
        <v>1373</v>
      </c>
      <c r="D209" s="1222"/>
      <c r="E209" s="1223">
        <v>2002</v>
      </c>
      <c r="F209" s="1224" t="s">
        <v>553</v>
      </c>
      <c r="G209" s="1225" t="s">
        <v>1449</v>
      </c>
      <c r="H209" s="1219">
        <v>5</v>
      </c>
      <c r="I209" s="1226" t="str">
        <f t="shared" si="8"/>
        <v xml:space="preserve"> </v>
      </c>
      <c r="J209" s="1227" t="str">
        <f t="shared" si="9"/>
        <v xml:space="preserve"> </v>
      </c>
      <c r="K209" s="674" t="str">
        <f t="shared" si="10"/>
        <v xml:space="preserve"> </v>
      </c>
    </row>
    <row r="210" spans="1:11" ht="24.95" customHeight="1">
      <c r="A210" s="1219">
        <v>6</v>
      </c>
      <c r="B210" s="1220" t="s">
        <v>29</v>
      </c>
      <c r="C210" s="1221" t="s">
        <v>1010</v>
      </c>
      <c r="D210" s="1222"/>
      <c r="E210" s="1223">
        <v>2006</v>
      </c>
      <c r="F210" s="1224" t="s">
        <v>553</v>
      </c>
      <c r="G210" s="1225" t="s">
        <v>1450</v>
      </c>
      <c r="H210" s="1219">
        <v>6</v>
      </c>
      <c r="I210" s="1226" t="str">
        <f t="shared" si="8"/>
        <v xml:space="preserve"> </v>
      </c>
      <c r="J210" s="1227" t="str">
        <f t="shared" si="9"/>
        <v xml:space="preserve"> </v>
      </c>
      <c r="K210" s="674" t="str">
        <f t="shared" si="10"/>
        <v xml:space="preserve"> </v>
      </c>
    </row>
    <row r="211" spans="1:11" ht="24.95" customHeight="1">
      <c r="A211" s="1219">
        <v>7</v>
      </c>
      <c r="B211" s="1220" t="s">
        <v>1</v>
      </c>
      <c r="C211" s="1221" t="s">
        <v>1407</v>
      </c>
      <c r="D211" s="1222"/>
      <c r="E211" s="1223">
        <v>2005</v>
      </c>
      <c r="F211" s="1224" t="s">
        <v>553</v>
      </c>
      <c r="G211" s="1225" t="s">
        <v>1450</v>
      </c>
      <c r="H211" s="1219">
        <v>7</v>
      </c>
      <c r="I211" s="1226" t="str">
        <f t="shared" si="8"/>
        <v xml:space="preserve"> </v>
      </c>
      <c r="J211" s="1227" t="str">
        <f t="shared" si="9"/>
        <v xml:space="preserve"> </v>
      </c>
      <c r="K211" s="674" t="str">
        <f t="shared" si="10"/>
        <v xml:space="preserve"> </v>
      </c>
    </row>
    <row r="212" spans="1:11" ht="24.95" customHeight="1">
      <c r="A212" s="1219">
        <v>8</v>
      </c>
      <c r="B212" s="1220"/>
      <c r="C212" s="1221"/>
      <c r="D212" s="1222"/>
      <c r="E212" s="1223"/>
      <c r="F212" s="1224"/>
      <c r="G212" s="1225"/>
      <c r="H212" s="1219">
        <v>8</v>
      </c>
      <c r="I212" s="1226" t="str">
        <f t="shared" si="8"/>
        <v xml:space="preserve"> </v>
      </c>
      <c r="J212" s="1227" t="str">
        <f t="shared" si="9"/>
        <v xml:space="preserve"> </v>
      </c>
      <c r="K212" s="674" t="str">
        <f t="shared" si="10"/>
        <v xml:space="preserve"> </v>
      </c>
    </row>
    <row r="213" spans="1:11" ht="24.95" customHeight="1">
      <c r="A213" s="1219"/>
      <c r="B213" s="1220"/>
      <c r="C213" s="1221" t="s">
        <v>1526</v>
      </c>
      <c r="D213" s="1222"/>
      <c r="E213" s="1223"/>
      <c r="F213" s="1224"/>
      <c r="G213" s="1225"/>
      <c r="H213" s="1219"/>
      <c r="I213" s="1226" t="str">
        <f t="shared" si="8"/>
        <v xml:space="preserve"> </v>
      </c>
      <c r="J213" s="1227" t="str">
        <f t="shared" si="9"/>
        <v xml:space="preserve"> </v>
      </c>
      <c r="K213" s="674" t="str">
        <f t="shared" si="10"/>
        <v xml:space="preserve"> </v>
      </c>
    </row>
    <row r="214" spans="1:11" ht="24.95" customHeight="1">
      <c r="A214" s="1219"/>
      <c r="B214" s="1220"/>
      <c r="C214" s="1221"/>
      <c r="D214" s="1222"/>
      <c r="E214" s="1223"/>
      <c r="F214" s="1224"/>
      <c r="G214" s="1225"/>
      <c r="H214" s="1219"/>
      <c r="I214" s="1226" t="str">
        <f t="shared" si="8"/>
        <v xml:space="preserve"> </v>
      </c>
      <c r="J214" s="1227" t="str">
        <f t="shared" si="9"/>
        <v xml:space="preserve"> </v>
      </c>
      <c r="K214" s="674" t="str">
        <f t="shared" si="10"/>
        <v xml:space="preserve"> </v>
      </c>
    </row>
    <row r="215" spans="1:11" ht="24.95" customHeight="1">
      <c r="A215" s="1219"/>
      <c r="B215" s="1220"/>
      <c r="C215" s="1221"/>
      <c r="D215" s="1222"/>
      <c r="E215" s="1223" t="s">
        <v>1401</v>
      </c>
      <c r="F215" s="1224"/>
      <c r="G215" s="1225"/>
      <c r="H215" s="1219"/>
      <c r="I215" s="1226" t="str">
        <f t="shared" si="8"/>
        <v xml:space="preserve"> </v>
      </c>
      <c r="J215" s="1227" t="str">
        <f t="shared" si="9"/>
        <v xml:space="preserve"> </v>
      </c>
      <c r="K215" s="674" t="str">
        <f t="shared" si="10"/>
        <v xml:space="preserve"> </v>
      </c>
    </row>
    <row r="216" spans="1:11" ht="24.95" customHeight="1">
      <c r="A216" s="1219"/>
      <c r="B216" s="1220"/>
      <c r="C216" s="1221"/>
      <c r="D216" s="1222"/>
      <c r="E216" s="1223"/>
      <c r="F216" s="1224"/>
      <c r="G216" s="1225"/>
      <c r="H216" s="1219"/>
      <c r="I216" s="1226" t="str">
        <f t="shared" si="8"/>
        <v xml:space="preserve"> </v>
      </c>
      <c r="J216" s="1227" t="str">
        <f t="shared" si="9"/>
        <v xml:space="preserve"> </v>
      </c>
      <c r="K216" s="674" t="str">
        <f t="shared" si="10"/>
        <v xml:space="preserve"> </v>
      </c>
    </row>
    <row r="217" spans="1:11" ht="24.95" customHeight="1">
      <c r="A217" s="1219">
        <v>1</v>
      </c>
      <c r="B217" s="1220" t="s">
        <v>29</v>
      </c>
      <c r="C217" s="1221" t="s">
        <v>1527</v>
      </c>
      <c r="D217" s="1222"/>
      <c r="E217" s="1223">
        <v>2005</v>
      </c>
      <c r="F217" s="1224" t="s">
        <v>553</v>
      </c>
      <c r="G217" s="1225" t="s">
        <v>1450</v>
      </c>
      <c r="H217" s="1219">
        <v>1</v>
      </c>
      <c r="I217" s="1226" t="str">
        <f t="shared" si="8"/>
        <v xml:space="preserve"> </v>
      </c>
      <c r="J217" s="1227" t="str">
        <f t="shared" si="9"/>
        <v xml:space="preserve"> </v>
      </c>
      <c r="K217" s="674" t="str">
        <f t="shared" si="10"/>
        <v xml:space="preserve"> </v>
      </c>
    </row>
    <row r="218" spans="1:11" ht="24.95" customHeight="1">
      <c r="A218" s="1219">
        <v>2</v>
      </c>
      <c r="B218" s="1220" t="s">
        <v>27</v>
      </c>
      <c r="C218" s="1221" t="s">
        <v>1541</v>
      </c>
      <c r="D218" s="1222"/>
      <c r="E218" s="1223">
        <v>2003</v>
      </c>
      <c r="F218" s="1224" t="s">
        <v>1542</v>
      </c>
      <c r="G218" s="1225" t="s">
        <v>1442</v>
      </c>
      <c r="H218" s="1219">
        <v>2</v>
      </c>
      <c r="I218" s="1226" t="str">
        <f t="shared" si="8"/>
        <v xml:space="preserve"> </v>
      </c>
      <c r="J218" s="1227" t="str">
        <f t="shared" si="9"/>
        <v xml:space="preserve"> </v>
      </c>
      <c r="K218" s="674" t="str">
        <f t="shared" si="10"/>
        <v xml:space="preserve"> </v>
      </c>
    </row>
    <row r="219" spans="1:11" ht="24.95" customHeight="1">
      <c r="A219" s="1219">
        <v>3</v>
      </c>
      <c r="B219" s="1220" t="s">
        <v>27</v>
      </c>
      <c r="C219" s="1221" t="s">
        <v>595</v>
      </c>
      <c r="D219" s="1222"/>
      <c r="E219" s="1223">
        <v>2000</v>
      </c>
      <c r="F219" s="1224" t="s">
        <v>1431</v>
      </c>
      <c r="G219" s="1225" t="s">
        <v>1447</v>
      </c>
      <c r="H219" s="1219">
        <v>3</v>
      </c>
      <c r="I219" s="1226" t="str">
        <f t="shared" si="8"/>
        <v xml:space="preserve"> </v>
      </c>
      <c r="J219" s="1227" t="str">
        <f t="shared" si="9"/>
        <v xml:space="preserve"> </v>
      </c>
      <c r="K219" s="674" t="str">
        <f t="shared" si="10"/>
        <v xml:space="preserve"> </v>
      </c>
    </row>
    <row r="220" spans="1:11" ht="24.95" customHeight="1">
      <c r="A220" s="1219">
        <v>4</v>
      </c>
      <c r="B220" s="1220" t="s">
        <v>27</v>
      </c>
      <c r="C220" s="1221" t="s">
        <v>1535</v>
      </c>
      <c r="D220" s="1222"/>
      <c r="E220" s="1223">
        <v>2002</v>
      </c>
      <c r="F220" s="1224" t="s">
        <v>1485</v>
      </c>
      <c r="G220" s="1225" t="s">
        <v>1442</v>
      </c>
      <c r="H220" s="1219">
        <v>4</v>
      </c>
      <c r="I220" s="1226" t="str">
        <f t="shared" si="8"/>
        <v xml:space="preserve"> </v>
      </c>
      <c r="J220" s="1227" t="str">
        <f t="shared" si="9"/>
        <v xml:space="preserve"> </v>
      </c>
      <c r="K220" s="674" t="str">
        <f t="shared" si="10"/>
        <v xml:space="preserve"> </v>
      </c>
    </row>
    <row r="221" spans="1:11" ht="24.95" customHeight="1">
      <c r="A221" s="1219">
        <v>5</v>
      </c>
      <c r="B221" s="1220" t="s">
        <v>23</v>
      </c>
      <c r="C221" s="1221" t="s">
        <v>552</v>
      </c>
      <c r="D221" s="1222"/>
      <c r="E221" s="1223">
        <v>1993</v>
      </c>
      <c r="F221" s="1224" t="s">
        <v>1439</v>
      </c>
      <c r="G221" s="1225" t="s">
        <v>1449</v>
      </c>
      <c r="H221" s="1219">
        <v>5</v>
      </c>
      <c r="I221" s="1226" t="str">
        <f t="shared" si="8"/>
        <v xml:space="preserve"> </v>
      </c>
      <c r="J221" s="1227" t="str">
        <f t="shared" si="9"/>
        <v xml:space="preserve"> </v>
      </c>
      <c r="K221" s="674" t="str">
        <f t="shared" si="10"/>
        <v xml:space="preserve"> </v>
      </c>
    </row>
    <row r="222" spans="1:11" ht="24.95" customHeight="1">
      <c r="A222" s="1219">
        <v>6</v>
      </c>
      <c r="B222" s="1220" t="s">
        <v>27</v>
      </c>
      <c r="C222" s="1221" t="s">
        <v>666</v>
      </c>
      <c r="D222" s="1222"/>
      <c r="E222" s="1223">
        <v>2003</v>
      </c>
      <c r="F222" s="1224" t="s">
        <v>1433</v>
      </c>
      <c r="G222" s="1225" t="s">
        <v>1447</v>
      </c>
      <c r="H222" s="1219">
        <v>6</v>
      </c>
      <c r="I222" s="1226" t="str">
        <f t="shared" si="8"/>
        <v xml:space="preserve"> </v>
      </c>
      <c r="J222" s="1227" t="str">
        <f t="shared" si="9"/>
        <v xml:space="preserve"> </v>
      </c>
      <c r="K222" s="674" t="str">
        <f t="shared" si="10"/>
        <v xml:space="preserve"> </v>
      </c>
    </row>
    <row r="223" spans="1:11" ht="24.95" customHeight="1">
      <c r="A223" s="1219">
        <v>7</v>
      </c>
      <c r="B223" s="1220" t="s">
        <v>29</v>
      </c>
      <c r="C223" s="1221" t="s">
        <v>1014</v>
      </c>
      <c r="D223" s="1222"/>
      <c r="E223" s="1223">
        <v>2006</v>
      </c>
      <c r="F223" s="1224" t="s">
        <v>553</v>
      </c>
      <c r="G223" s="1225" t="s">
        <v>1450</v>
      </c>
      <c r="H223" s="1219">
        <v>7</v>
      </c>
      <c r="I223" s="1226" t="str">
        <f t="shared" ref="I223:I286" si="11">IF($D223="Заплыв №","РЕЗУЛЬТАТ"," ")</f>
        <v xml:space="preserve"> </v>
      </c>
      <c r="J223" s="1227" t="str">
        <f t="shared" ref="J223:J286" si="12">IF($D223="Заплыв №","ФИНИШ"," ")</f>
        <v xml:space="preserve"> </v>
      </c>
      <c r="K223" s="674" t="str">
        <f t="shared" ref="K223:K286" si="13">IF($D223="Заплыв №","ПРИМ."," ")</f>
        <v xml:space="preserve"> </v>
      </c>
    </row>
    <row r="224" spans="1:11" ht="24.95" customHeight="1">
      <c r="A224" s="1219">
        <v>8</v>
      </c>
      <c r="B224" s="1220" t="s">
        <v>29</v>
      </c>
      <c r="C224" s="1221" t="s">
        <v>1434</v>
      </c>
      <c r="D224" s="1222"/>
      <c r="E224" s="1223">
        <v>2003</v>
      </c>
      <c r="F224" s="1224" t="s">
        <v>1433</v>
      </c>
      <c r="G224" s="1225" t="s">
        <v>1447</v>
      </c>
      <c r="H224" s="1219">
        <v>8</v>
      </c>
      <c r="I224" s="1226" t="str">
        <f t="shared" si="11"/>
        <v xml:space="preserve"> </v>
      </c>
      <c r="J224" s="1227" t="str">
        <f t="shared" si="12"/>
        <v xml:space="preserve"> </v>
      </c>
      <c r="K224" s="674" t="str">
        <f t="shared" si="13"/>
        <v xml:space="preserve"> </v>
      </c>
    </row>
    <row r="225" spans="1:11" ht="24.95" customHeight="1">
      <c r="A225" s="1219"/>
      <c r="B225" s="1220"/>
      <c r="C225" s="1221"/>
      <c r="D225" s="1222"/>
      <c r="E225" s="1223"/>
      <c r="F225" s="1224"/>
      <c r="G225" s="1225"/>
      <c r="H225" s="1219"/>
      <c r="I225" s="1226" t="str">
        <f t="shared" si="11"/>
        <v xml:space="preserve"> </v>
      </c>
      <c r="J225" s="1227" t="str">
        <f t="shared" si="12"/>
        <v xml:space="preserve"> </v>
      </c>
      <c r="K225" s="674" t="str">
        <f t="shared" si="13"/>
        <v xml:space="preserve"> </v>
      </c>
    </row>
    <row r="226" spans="1:11" ht="24.95" customHeight="1">
      <c r="A226" s="1219"/>
      <c r="B226" s="1220"/>
      <c r="C226" s="1221" t="s">
        <v>1528</v>
      </c>
      <c r="D226" s="1222"/>
      <c r="E226" s="1223"/>
      <c r="F226" s="1224"/>
      <c r="G226" s="1225"/>
      <c r="H226" s="1219"/>
      <c r="I226" s="1226" t="str">
        <f t="shared" si="11"/>
        <v xml:space="preserve"> </v>
      </c>
      <c r="J226" s="1227" t="str">
        <f t="shared" si="12"/>
        <v xml:space="preserve"> </v>
      </c>
      <c r="K226" s="674" t="str">
        <f t="shared" si="13"/>
        <v xml:space="preserve"> </v>
      </c>
    </row>
    <row r="227" spans="1:11" ht="24.95" customHeight="1">
      <c r="A227" s="1219"/>
      <c r="B227" s="1220"/>
      <c r="C227" s="1221"/>
      <c r="D227" s="1222"/>
      <c r="E227" s="1223"/>
      <c r="F227" s="1224"/>
      <c r="G227" s="1225"/>
      <c r="H227" s="1219"/>
      <c r="I227" s="1226" t="str">
        <f t="shared" si="11"/>
        <v xml:space="preserve"> </v>
      </c>
      <c r="J227" s="1227" t="str">
        <f t="shared" si="12"/>
        <v xml:space="preserve"> </v>
      </c>
      <c r="K227" s="674" t="str">
        <f t="shared" si="13"/>
        <v xml:space="preserve"> </v>
      </c>
    </row>
    <row r="228" spans="1:11" ht="24.95" customHeight="1">
      <c r="A228" s="1219"/>
      <c r="B228" s="1220"/>
      <c r="C228" s="1221"/>
      <c r="D228" s="1222"/>
      <c r="E228" s="1223" t="s">
        <v>1402</v>
      </c>
      <c r="F228" s="1224"/>
      <c r="G228" s="1225"/>
      <c r="H228" s="1219"/>
      <c r="I228" s="1226" t="str">
        <f t="shared" si="11"/>
        <v xml:space="preserve"> </v>
      </c>
      <c r="J228" s="1227" t="str">
        <f t="shared" si="12"/>
        <v xml:space="preserve"> </v>
      </c>
      <c r="K228" s="674" t="str">
        <f t="shared" si="13"/>
        <v xml:space="preserve"> </v>
      </c>
    </row>
    <row r="229" spans="1:11" ht="24.95" customHeight="1">
      <c r="A229" s="1219">
        <v>1</v>
      </c>
      <c r="B229" s="1220" t="s">
        <v>27</v>
      </c>
      <c r="C229" s="1221" t="s">
        <v>567</v>
      </c>
      <c r="D229" s="1222"/>
      <c r="E229" s="1223">
        <v>1999</v>
      </c>
      <c r="F229" s="1224" t="s">
        <v>1431</v>
      </c>
      <c r="G229" s="1225" t="s">
        <v>1447</v>
      </c>
      <c r="H229" s="1219">
        <v>1</v>
      </c>
      <c r="I229" s="1226" t="str">
        <f t="shared" si="11"/>
        <v xml:space="preserve"> </v>
      </c>
      <c r="J229" s="1227" t="str">
        <f t="shared" si="12"/>
        <v xml:space="preserve"> </v>
      </c>
      <c r="K229" s="674" t="str">
        <f t="shared" si="13"/>
        <v xml:space="preserve"> </v>
      </c>
    </row>
    <row r="230" spans="1:11" ht="24.95" customHeight="1">
      <c r="A230" s="1219">
        <v>2</v>
      </c>
      <c r="B230" s="1220" t="s">
        <v>13</v>
      </c>
      <c r="C230" s="1221" t="s">
        <v>1520</v>
      </c>
      <c r="D230" s="1222"/>
      <c r="E230" s="1223">
        <v>2007</v>
      </c>
      <c r="F230" s="1224" t="s">
        <v>553</v>
      </c>
      <c r="G230" s="1225" t="s">
        <v>1471</v>
      </c>
      <c r="H230" s="1219">
        <v>2</v>
      </c>
      <c r="I230" s="1226" t="str">
        <f t="shared" si="11"/>
        <v xml:space="preserve"> </v>
      </c>
      <c r="J230" s="1227" t="str">
        <f t="shared" si="12"/>
        <v xml:space="preserve"> </v>
      </c>
      <c r="K230" s="674" t="str">
        <f t="shared" si="13"/>
        <v xml:space="preserve"> </v>
      </c>
    </row>
    <row r="231" spans="1:11" ht="24.95" customHeight="1">
      <c r="A231" s="1219">
        <v>3</v>
      </c>
      <c r="B231" s="1220" t="s">
        <v>29</v>
      </c>
      <c r="C231" s="1221" t="s">
        <v>1531</v>
      </c>
      <c r="D231" s="1222"/>
      <c r="E231" s="1223">
        <v>2004</v>
      </c>
      <c r="F231" s="1224" t="s">
        <v>1448</v>
      </c>
      <c r="G231" s="1225" t="s">
        <v>1530</v>
      </c>
      <c r="H231" s="1219">
        <v>3</v>
      </c>
      <c r="I231" s="1226" t="str">
        <f t="shared" si="11"/>
        <v xml:space="preserve"> </v>
      </c>
      <c r="J231" s="1227" t="str">
        <f t="shared" si="12"/>
        <v xml:space="preserve"> </v>
      </c>
      <c r="K231" s="674" t="str">
        <f t="shared" si="13"/>
        <v xml:space="preserve"> </v>
      </c>
    </row>
    <row r="232" spans="1:11" ht="24.95" customHeight="1">
      <c r="A232" s="1219">
        <v>4</v>
      </c>
      <c r="B232" s="1220" t="s">
        <v>25</v>
      </c>
      <c r="C232" s="1221" t="s">
        <v>1462</v>
      </c>
      <c r="D232" s="1222"/>
      <c r="E232" s="1223">
        <v>2001</v>
      </c>
      <c r="F232" s="1224" t="s">
        <v>1463</v>
      </c>
      <c r="G232" s="1225" t="s">
        <v>1442</v>
      </c>
      <c r="H232" s="1219">
        <v>4</v>
      </c>
      <c r="I232" s="1226" t="str">
        <f t="shared" si="11"/>
        <v xml:space="preserve"> </v>
      </c>
      <c r="J232" s="1227" t="str">
        <f t="shared" si="12"/>
        <v xml:space="preserve"> </v>
      </c>
      <c r="K232" s="674" t="str">
        <f t="shared" si="13"/>
        <v xml:space="preserve"> </v>
      </c>
    </row>
    <row r="233" spans="1:11" ht="24.95" customHeight="1">
      <c r="A233" s="1219">
        <v>5</v>
      </c>
      <c r="B233" s="1220" t="s">
        <v>27</v>
      </c>
      <c r="C233" s="1221" t="s">
        <v>1529</v>
      </c>
      <c r="D233" s="1222"/>
      <c r="E233" s="1223">
        <v>2003</v>
      </c>
      <c r="F233" s="1224" t="s">
        <v>1485</v>
      </c>
      <c r="G233" s="1225" t="s">
        <v>1442</v>
      </c>
      <c r="H233" s="1219">
        <v>5</v>
      </c>
      <c r="I233" s="1226" t="str">
        <f t="shared" si="11"/>
        <v xml:space="preserve"> </v>
      </c>
      <c r="J233" s="1227" t="str">
        <f t="shared" si="12"/>
        <v xml:space="preserve"> </v>
      </c>
      <c r="K233" s="674" t="str">
        <f t="shared" si="13"/>
        <v xml:space="preserve"> </v>
      </c>
    </row>
    <row r="234" spans="1:11" ht="24.95" customHeight="1">
      <c r="A234" s="1219">
        <v>6</v>
      </c>
      <c r="B234" s="1220" t="s">
        <v>29</v>
      </c>
      <c r="C234" s="1221" t="s">
        <v>1387</v>
      </c>
      <c r="D234" s="1222"/>
      <c r="E234" s="1223">
        <v>2004</v>
      </c>
      <c r="F234" s="1224" t="s">
        <v>1344</v>
      </c>
      <c r="G234" s="1225" t="s">
        <v>1530</v>
      </c>
      <c r="H234" s="1219">
        <v>6</v>
      </c>
      <c r="I234" s="1226" t="str">
        <f t="shared" si="11"/>
        <v xml:space="preserve"> </v>
      </c>
      <c r="J234" s="1227" t="str">
        <f t="shared" si="12"/>
        <v xml:space="preserve"> </v>
      </c>
      <c r="K234" s="674" t="str">
        <f t="shared" si="13"/>
        <v xml:space="preserve"> </v>
      </c>
    </row>
    <row r="235" spans="1:11" ht="24.95" customHeight="1">
      <c r="A235" s="1219">
        <v>7</v>
      </c>
      <c r="B235" s="1220" t="s">
        <v>25</v>
      </c>
      <c r="C235" s="1221" t="s">
        <v>619</v>
      </c>
      <c r="D235" s="1222"/>
      <c r="E235" s="1223">
        <v>1995</v>
      </c>
      <c r="F235" s="1224" t="s">
        <v>1431</v>
      </c>
      <c r="G235" s="1225" t="s">
        <v>1449</v>
      </c>
      <c r="H235" s="1219">
        <v>7</v>
      </c>
      <c r="I235" s="1226" t="str">
        <f t="shared" si="11"/>
        <v xml:space="preserve"> </v>
      </c>
      <c r="J235" s="1227" t="str">
        <f t="shared" si="12"/>
        <v xml:space="preserve"> </v>
      </c>
      <c r="K235" s="674" t="str">
        <f t="shared" si="13"/>
        <v xml:space="preserve"> </v>
      </c>
    </row>
    <row r="236" spans="1:11" ht="24.95" customHeight="1">
      <c r="A236" s="1219">
        <v>8</v>
      </c>
      <c r="B236" s="1220"/>
      <c r="C236" s="1221"/>
      <c r="D236" s="1222"/>
      <c r="E236" s="1223"/>
      <c r="F236" s="1224"/>
      <c r="G236" s="1225"/>
      <c r="H236" s="1219">
        <v>8</v>
      </c>
      <c r="I236" s="1226" t="str">
        <f t="shared" si="11"/>
        <v xml:space="preserve"> </v>
      </c>
      <c r="J236" s="1227" t="str">
        <f t="shared" si="12"/>
        <v xml:space="preserve"> </v>
      </c>
      <c r="K236" s="674" t="str">
        <f t="shared" si="13"/>
        <v xml:space="preserve"> </v>
      </c>
    </row>
    <row r="237" spans="1:11" ht="24.95" customHeight="1">
      <c r="A237" s="1219"/>
      <c r="B237" s="1220"/>
      <c r="C237" s="1221"/>
      <c r="D237" s="1222"/>
      <c r="E237" s="1223"/>
      <c r="F237" s="1224"/>
      <c r="G237" s="1225"/>
      <c r="H237" s="1219"/>
      <c r="I237" s="1226" t="str">
        <f t="shared" si="11"/>
        <v xml:space="preserve"> </v>
      </c>
      <c r="J237" s="1227" t="str">
        <f t="shared" si="12"/>
        <v xml:space="preserve"> </v>
      </c>
      <c r="K237" s="674" t="str">
        <f t="shared" si="13"/>
        <v xml:space="preserve"> </v>
      </c>
    </row>
    <row r="238" spans="1:11" ht="24.95" customHeight="1">
      <c r="A238" s="1219"/>
      <c r="B238" s="1220"/>
      <c r="C238" s="1221"/>
      <c r="D238" s="1222"/>
      <c r="E238" s="1223"/>
      <c r="F238" s="1224"/>
      <c r="G238" s="1225"/>
      <c r="H238" s="1219"/>
      <c r="I238" s="1226" t="str">
        <f t="shared" si="11"/>
        <v xml:space="preserve"> </v>
      </c>
      <c r="J238" s="1227" t="str">
        <f t="shared" si="12"/>
        <v xml:space="preserve"> </v>
      </c>
      <c r="K238" s="674" t="str">
        <f t="shared" si="13"/>
        <v xml:space="preserve"> </v>
      </c>
    </row>
    <row r="239" spans="1:11" ht="24.95" customHeight="1">
      <c r="A239" s="1219"/>
      <c r="B239" s="1220"/>
      <c r="C239" s="1221"/>
      <c r="D239" s="1222"/>
      <c r="E239" s="1223"/>
      <c r="F239" s="1224"/>
      <c r="G239" s="1225"/>
      <c r="H239" s="1219"/>
      <c r="I239" s="1226" t="str">
        <f t="shared" si="11"/>
        <v xml:space="preserve"> </v>
      </c>
      <c r="J239" s="1227" t="str">
        <f t="shared" si="12"/>
        <v xml:space="preserve"> </v>
      </c>
      <c r="K239" s="674" t="str">
        <f t="shared" si="13"/>
        <v xml:space="preserve"> </v>
      </c>
    </row>
    <row r="240" spans="1:11" ht="24.95" customHeight="1">
      <c r="A240" s="1219"/>
      <c r="B240" s="1220"/>
      <c r="C240" s="1221"/>
      <c r="D240" s="1222"/>
      <c r="E240" s="1223"/>
      <c r="F240" s="1224"/>
      <c r="G240" s="1225"/>
      <c r="H240" s="1219"/>
      <c r="I240" s="1226" t="str">
        <f t="shared" si="11"/>
        <v xml:space="preserve"> </v>
      </c>
      <c r="J240" s="1227" t="str">
        <f t="shared" si="12"/>
        <v xml:space="preserve"> </v>
      </c>
      <c r="K240" s="674" t="str">
        <f t="shared" si="13"/>
        <v xml:space="preserve"> </v>
      </c>
    </row>
    <row r="241" spans="1:11" ht="24.95" customHeight="1">
      <c r="A241" s="1219"/>
      <c r="B241" s="1220"/>
      <c r="C241" s="1221"/>
      <c r="D241" s="1222"/>
      <c r="E241" s="1223"/>
      <c r="F241" s="1224"/>
      <c r="G241" s="1225"/>
      <c r="H241" s="1219"/>
      <c r="I241" s="1226" t="str">
        <f t="shared" si="11"/>
        <v xml:space="preserve"> </v>
      </c>
      <c r="J241" s="1227" t="str">
        <f t="shared" si="12"/>
        <v xml:space="preserve"> </v>
      </c>
      <c r="K241" s="674" t="str">
        <f t="shared" si="13"/>
        <v xml:space="preserve"> </v>
      </c>
    </row>
    <row r="242" spans="1:11" ht="24.95" customHeight="1">
      <c r="A242" s="1219"/>
      <c r="B242" s="1220"/>
      <c r="C242" s="1221"/>
      <c r="D242" s="1222"/>
      <c r="E242" s="1223"/>
      <c r="F242" s="1224"/>
      <c r="G242" s="1225"/>
      <c r="H242" s="1219"/>
      <c r="I242" s="1226" t="str">
        <f t="shared" si="11"/>
        <v xml:space="preserve"> </v>
      </c>
      <c r="J242" s="1227" t="str">
        <f t="shared" si="12"/>
        <v xml:space="preserve"> </v>
      </c>
      <c r="K242" s="674" t="str">
        <f t="shared" si="13"/>
        <v xml:space="preserve"> </v>
      </c>
    </row>
    <row r="243" spans="1:11" ht="24.95" customHeight="1">
      <c r="A243" s="1219"/>
      <c r="B243" s="1220"/>
      <c r="C243" s="1221"/>
      <c r="D243" s="1222"/>
      <c r="E243" s="1223"/>
      <c r="F243" s="1224"/>
      <c r="G243" s="1225"/>
      <c r="H243" s="1219"/>
      <c r="I243" s="1226" t="str">
        <f t="shared" si="11"/>
        <v xml:space="preserve"> </v>
      </c>
      <c r="J243" s="1227" t="str">
        <f t="shared" si="12"/>
        <v xml:space="preserve"> </v>
      </c>
      <c r="K243" s="674" t="str">
        <f t="shared" si="13"/>
        <v xml:space="preserve"> </v>
      </c>
    </row>
    <row r="244" spans="1:11" ht="24.95" customHeight="1">
      <c r="A244" s="1219"/>
      <c r="B244" s="1220"/>
      <c r="C244" s="1221"/>
      <c r="D244" s="1222"/>
      <c r="E244" s="1223"/>
      <c r="F244" s="1224"/>
      <c r="G244" s="1225"/>
      <c r="H244" s="1219"/>
      <c r="I244" s="1226" t="str">
        <f t="shared" si="11"/>
        <v xml:space="preserve"> </v>
      </c>
      <c r="J244" s="1227" t="str">
        <f t="shared" si="12"/>
        <v xml:space="preserve"> </v>
      </c>
      <c r="K244" s="674" t="str">
        <f t="shared" si="13"/>
        <v xml:space="preserve"> </v>
      </c>
    </row>
    <row r="245" spans="1:11" ht="24.95" customHeight="1">
      <c r="A245" s="1219"/>
      <c r="B245" s="1220"/>
      <c r="C245" s="1221"/>
      <c r="D245" s="1222"/>
      <c r="E245" s="1223"/>
      <c r="F245" s="1224"/>
      <c r="G245" s="1225"/>
      <c r="H245" s="1219"/>
      <c r="I245" s="1226" t="str">
        <f t="shared" si="11"/>
        <v xml:space="preserve"> </v>
      </c>
      <c r="J245" s="1227" t="str">
        <f t="shared" si="12"/>
        <v xml:space="preserve"> </v>
      </c>
      <c r="K245" s="674" t="str">
        <f t="shared" si="13"/>
        <v xml:space="preserve"> </v>
      </c>
    </row>
    <row r="246" spans="1:11" ht="24.95" customHeight="1">
      <c r="A246" s="1219"/>
      <c r="B246" s="1220"/>
      <c r="C246" s="1221"/>
      <c r="D246" s="1222"/>
      <c r="E246" s="1223"/>
      <c r="F246" s="1224"/>
      <c r="G246" s="1225"/>
      <c r="H246" s="1219"/>
      <c r="I246" s="1226" t="str">
        <f t="shared" si="11"/>
        <v xml:space="preserve"> </v>
      </c>
      <c r="J246" s="1227" t="str">
        <f t="shared" si="12"/>
        <v xml:space="preserve"> </v>
      </c>
      <c r="K246" s="674" t="str">
        <f t="shared" si="13"/>
        <v xml:space="preserve"> </v>
      </c>
    </row>
    <row r="247" spans="1:11" ht="24.95" customHeight="1">
      <c r="A247" s="1219"/>
      <c r="B247" s="1220"/>
      <c r="C247" s="1221"/>
      <c r="D247" s="1222"/>
      <c r="E247" s="1223"/>
      <c r="F247" s="1224"/>
      <c r="G247" s="1225"/>
      <c r="H247" s="1219"/>
      <c r="I247" s="1226" t="str">
        <f t="shared" si="11"/>
        <v xml:space="preserve"> </v>
      </c>
      <c r="J247" s="1227" t="str">
        <f t="shared" si="12"/>
        <v xml:space="preserve"> </v>
      </c>
      <c r="K247" s="674" t="str">
        <f t="shared" si="13"/>
        <v xml:space="preserve"> </v>
      </c>
    </row>
    <row r="248" spans="1:11" ht="24.95" customHeight="1">
      <c r="A248" s="1219"/>
      <c r="B248" s="1220"/>
      <c r="C248" s="1221"/>
      <c r="D248" s="1222"/>
      <c r="E248" s="1223"/>
      <c r="F248" s="1224"/>
      <c r="G248" s="1225"/>
      <c r="H248" s="1219"/>
      <c r="I248" s="1226" t="str">
        <f t="shared" si="11"/>
        <v xml:space="preserve"> </v>
      </c>
      <c r="J248" s="1227" t="str">
        <f t="shared" si="12"/>
        <v xml:space="preserve"> </v>
      </c>
      <c r="K248" s="674" t="str">
        <f t="shared" si="13"/>
        <v xml:space="preserve"> </v>
      </c>
    </row>
    <row r="249" spans="1:11" ht="24.95" customHeight="1">
      <c r="A249" s="1219"/>
      <c r="B249" s="1220"/>
      <c r="C249" s="1221"/>
      <c r="D249" s="1222"/>
      <c r="E249" s="1223"/>
      <c r="F249" s="1224"/>
      <c r="G249" s="1225"/>
      <c r="H249" s="1219"/>
      <c r="I249" s="1226" t="str">
        <f t="shared" si="11"/>
        <v xml:space="preserve"> </v>
      </c>
      <c r="J249" s="1227" t="str">
        <f t="shared" si="12"/>
        <v xml:space="preserve"> </v>
      </c>
      <c r="K249" s="674" t="str">
        <f t="shared" si="13"/>
        <v xml:space="preserve"> </v>
      </c>
    </row>
    <row r="250" spans="1:11" ht="24.95" customHeight="1">
      <c r="A250" s="1219"/>
      <c r="B250" s="1220"/>
      <c r="C250" s="1221"/>
      <c r="D250" s="1222"/>
      <c r="E250" s="1223"/>
      <c r="F250" s="1224"/>
      <c r="G250" s="1225"/>
      <c r="H250" s="1219"/>
      <c r="I250" s="1226" t="str">
        <f t="shared" si="11"/>
        <v xml:space="preserve"> </v>
      </c>
      <c r="J250" s="1227" t="str">
        <f t="shared" si="12"/>
        <v xml:space="preserve"> </v>
      </c>
      <c r="K250" s="674" t="str">
        <f t="shared" si="13"/>
        <v xml:space="preserve"> </v>
      </c>
    </row>
    <row r="251" spans="1:11" ht="24.95" customHeight="1">
      <c r="A251" s="1219"/>
      <c r="B251" s="1220"/>
      <c r="C251" s="1221"/>
      <c r="D251" s="1222"/>
      <c r="E251" s="1223"/>
      <c r="F251" s="1224"/>
      <c r="G251" s="1225"/>
      <c r="H251" s="1219"/>
      <c r="I251" s="1226" t="str">
        <f t="shared" si="11"/>
        <v xml:space="preserve"> </v>
      </c>
      <c r="J251" s="1227" t="str">
        <f t="shared" si="12"/>
        <v xml:space="preserve"> </v>
      </c>
      <c r="K251" s="674" t="str">
        <f t="shared" si="13"/>
        <v xml:space="preserve"> </v>
      </c>
    </row>
    <row r="252" spans="1:11" ht="24.95" customHeight="1">
      <c r="A252" s="1219"/>
      <c r="B252" s="1220"/>
      <c r="C252" s="1221"/>
      <c r="D252" s="1222"/>
      <c r="E252" s="1223"/>
      <c r="F252" s="1224"/>
      <c r="G252" s="1225"/>
      <c r="H252" s="1219"/>
      <c r="I252" s="1226" t="str">
        <f t="shared" si="11"/>
        <v xml:space="preserve"> </v>
      </c>
      <c r="J252" s="1227" t="str">
        <f t="shared" si="12"/>
        <v xml:space="preserve"> </v>
      </c>
      <c r="K252" s="674" t="str">
        <f t="shared" si="13"/>
        <v xml:space="preserve"> </v>
      </c>
    </row>
    <row r="253" spans="1:11" ht="24.95" customHeight="1">
      <c r="A253" s="1219"/>
      <c r="B253" s="1220"/>
      <c r="C253" s="1221"/>
      <c r="D253" s="1222"/>
      <c r="E253" s="1223"/>
      <c r="F253" s="1224"/>
      <c r="G253" s="1225"/>
      <c r="H253" s="1219"/>
      <c r="I253" s="1226" t="str">
        <f t="shared" si="11"/>
        <v xml:space="preserve"> </v>
      </c>
      <c r="J253" s="1227" t="str">
        <f t="shared" si="12"/>
        <v xml:space="preserve"> </v>
      </c>
      <c r="K253" s="674" t="str">
        <f t="shared" si="13"/>
        <v xml:space="preserve"> </v>
      </c>
    </row>
    <row r="254" spans="1:11" ht="24.95" customHeight="1">
      <c r="A254" s="1219"/>
      <c r="B254" s="1220"/>
      <c r="C254" s="1221"/>
      <c r="D254" s="1222"/>
      <c r="E254" s="1223"/>
      <c r="F254" s="1224"/>
      <c r="G254" s="1225"/>
      <c r="H254" s="1219"/>
      <c r="I254" s="1226" t="str">
        <f t="shared" si="11"/>
        <v xml:space="preserve"> </v>
      </c>
      <c r="J254" s="1227" t="str">
        <f t="shared" si="12"/>
        <v xml:space="preserve"> </v>
      </c>
      <c r="K254" s="674" t="str">
        <f t="shared" si="13"/>
        <v xml:space="preserve"> </v>
      </c>
    </row>
    <row r="255" spans="1:11" ht="24.95" customHeight="1">
      <c r="A255" s="1219"/>
      <c r="B255" s="1220"/>
      <c r="C255" s="1221"/>
      <c r="D255" s="1222"/>
      <c r="E255" s="1223"/>
      <c r="F255" s="1224"/>
      <c r="G255" s="1225"/>
      <c r="H255" s="1219"/>
      <c r="I255" s="1226" t="str">
        <f t="shared" si="11"/>
        <v xml:space="preserve"> </v>
      </c>
      <c r="J255" s="1227" t="str">
        <f t="shared" si="12"/>
        <v xml:space="preserve"> </v>
      </c>
      <c r="K255" s="674" t="str">
        <f t="shared" si="13"/>
        <v xml:space="preserve"> </v>
      </c>
    </row>
    <row r="256" spans="1:11" ht="24.95" customHeight="1">
      <c r="A256" s="1219"/>
      <c r="B256" s="1220"/>
      <c r="C256" s="1221"/>
      <c r="D256" s="1222"/>
      <c r="E256" s="1223"/>
      <c r="F256" s="1224"/>
      <c r="G256" s="1225"/>
      <c r="H256" s="1219"/>
      <c r="I256" s="1226" t="str">
        <f t="shared" si="11"/>
        <v xml:space="preserve"> </v>
      </c>
      <c r="J256" s="1227" t="str">
        <f t="shared" si="12"/>
        <v xml:space="preserve"> </v>
      </c>
      <c r="K256" s="674" t="str">
        <f t="shared" si="13"/>
        <v xml:space="preserve"> </v>
      </c>
    </row>
    <row r="257" spans="1:11" ht="24.95" customHeight="1">
      <c r="A257" s="1219"/>
      <c r="B257" s="1220"/>
      <c r="C257" s="1221"/>
      <c r="D257" s="1222"/>
      <c r="E257" s="1223"/>
      <c r="F257" s="1224"/>
      <c r="G257" s="1225"/>
      <c r="H257" s="1219"/>
      <c r="I257" s="1226" t="str">
        <f t="shared" si="11"/>
        <v xml:space="preserve"> </v>
      </c>
      <c r="J257" s="1227" t="str">
        <f t="shared" si="12"/>
        <v xml:space="preserve"> </v>
      </c>
      <c r="K257" s="674" t="str">
        <f t="shared" si="13"/>
        <v xml:space="preserve"> </v>
      </c>
    </row>
    <row r="258" spans="1:11" ht="24.95" customHeight="1">
      <c r="A258" s="1219"/>
      <c r="B258" s="1220"/>
      <c r="C258" s="1221"/>
      <c r="D258" s="1222"/>
      <c r="E258" s="1223"/>
      <c r="F258" s="1224"/>
      <c r="G258" s="1225"/>
      <c r="H258" s="1219"/>
      <c r="I258" s="1226" t="str">
        <f t="shared" si="11"/>
        <v xml:space="preserve"> </v>
      </c>
      <c r="J258" s="1227" t="str">
        <f t="shared" si="12"/>
        <v xml:space="preserve"> </v>
      </c>
      <c r="K258" s="674" t="str">
        <f t="shared" si="13"/>
        <v xml:space="preserve"> </v>
      </c>
    </row>
    <row r="259" spans="1:11" ht="24.95" customHeight="1">
      <c r="A259" s="1219"/>
      <c r="B259" s="1220"/>
      <c r="C259" s="1221"/>
      <c r="D259" s="1222"/>
      <c r="E259" s="1223"/>
      <c r="F259" s="1224"/>
      <c r="G259" s="1225"/>
      <c r="H259" s="1219"/>
      <c r="I259" s="1226" t="str">
        <f t="shared" si="11"/>
        <v xml:space="preserve"> </v>
      </c>
      <c r="J259" s="1227" t="str">
        <f t="shared" si="12"/>
        <v xml:space="preserve"> </v>
      </c>
      <c r="K259" s="674" t="str">
        <f t="shared" si="13"/>
        <v xml:space="preserve"> </v>
      </c>
    </row>
    <row r="260" spans="1:11" ht="24.95" customHeight="1">
      <c r="A260" s="1219"/>
      <c r="B260" s="1220"/>
      <c r="C260" s="1221"/>
      <c r="D260" s="1222"/>
      <c r="E260" s="1223"/>
      <c r="F260" s="1224"/>
      <c r="G260" s="1225"/>
      <c r="H260" s="1219"/>
      <c r="I260" s="1226" t="str">
        <f t="shared" si="11"/>
        <v xml:space="preserve"> </v>
      </c>
      <c r="J260" s="1227" t="str">
        <f t="shared" si="12"/>
        <v xml:space="preserve"> </v>
      </c>
      <c r="K260" s="674" t="str">
        <f t="shared" si="13"/>
        <v xml:space="preserve"> </v>
      </c>
    </row>
    <row r="261" spans="1:11" ht="24.95" customHeight="1">
      <c r="A261" s="1219"/>
      <c r="B261" s="1220"/>
      <c r="C261" s="1221"/>
      <c r="D261" s="1222"/>
      <c r="E261" s="1223"/>
      <c r="F261" s="1224"/>
      <c r="G261" s="1225"/>
      <c r="H261" s="1219"/>
      <c r="I261" s="1226" t="str">
        <f t="shared" si="11"/>
        <v xml:space="preserve"> </v>
      </c>
      <c r="J261" s="1227" t="str">
        <f t="shared" si="12"/>
        <v xml:space="preserve"> </v>
      </c>
      <c r="K261" s="674" t="str">
        <f t="shared" si="13"/>
        <v xml:space="preserve"> </v>
      </c>
    </row>
    <row r="262" spans="1:11" ht="21" customHeight="1">
      <c r="A262" s="1219"/>
      <c r="B262" s="1220"/>
      <c r="C262" s="1221"/>
      <c r="D262" s="1222"/>
      <c r="E262" s="1223"/>
      <c r="F262" s="1224"/>
      <c r="G262" s="1225"/>
      <c r="H262" s="1219"/>
      <c r="I262" s="1226" t="str">
        <f t="shared" si="11"/>
        <v xml:space="preserve"> </v>
      </c>
      <c r="J262" s="1227" t="str">
        <f t="shared" si="12"/>
        <v xml:space="preserve"> </v>
      </c>
      <c r="K262" s="674" t="str">
        <f t="shared" si="13"/>
        <v xml:space="preserve"> </v>
      </c>
    </row>
    <row r="263" spans="1:11" ht="21" customHeight="1">
      <c r="A263" s="1219"/>
      <c r="B263" s="1220"/>
      <c r="C263" s="1221"/>
      <c r="D263" s="1222"/>
      <c r="E263" s="1223"/>
      <c r="F263" s="1224"/>
      <c r="G263" s="1225"/>
      <c r="H263" s="1219"/>
      <c r="I263" s="1226" t="str">
        <f t="shared" si="11"/>
        <v xml:space="preserve"> </v>
      </c>
      <c r="J263" s="1227" t="str">
        <f t="shared" si="12"/>
        <v xml:space="preserve"> </v>
      </c>
      <c r="K263" s="674" t="str">
        <f t="shared" si="13"/>
        <v xml:space="preserve"> </v>
      </c>
    </row>
    <row r="264" spans="1:11" ht="21" customHeight="1">
      <c r="A264" s="1219"/>
      <c r="B264" s="1220"/>
      <c r="C264" s="1221"/>
      <c r="D264" s="1222"/>
      <c r="E264" s="1223"/>
      <c r="F264" s="1224"/>
      <c r="G264" s="1225"/>
      <c r="H264" s="1219"/>
      <c r="I264" s="1226" t="str">
        <f t="shared" si="11"/>
        <v xml:space="preserve"> </v>
      </c>
      <c r="J264" s="1227" t="str">
        <f t="shared" si="12"/>
        <v xml:space="preserve"> </v>
      </c>
      <c r="K264" s="674" t="str">
        <f t="shared" si="13"/>
        <v xml:space="preserve"> </v>
      </c>
    </row>
    <row r="265" spans="1:11" ht="21" customHeight="1">
      <c r="A265" s="1219"/>
      <c r="B265" s="1220"/>
      <c r="C265" s="1221"/>
      <c r="D265" s="1222"/>
      <c r="E265" s="1223"/>
      <c r="F265" s="1224"/>
      <c r="G265" s="1225"/>
      <c r="H265" s="1219"/>
      <c r="I265" s="1226" t="str">
        <f t="shared" si="11"/>
        <v xml:space="preserve"> </v>
      </c>
      <c r="J265" s="1227" t="str">
        <f t="shared" si="12"/>
        <v xml:space="preserve"> </v>
      </c>
      <c r="K265" s="674" t="str">
        <f t="shared" si="13"/>
        <v xml:space="preserve"> </v>
      </c>
    </row>
    <row r="266" spans="1:11" ht="21" customHeight="1">
      <c r="A266" s="1219"/>
      <c r="B266" s="1220"/>
      <c r="C266" s="1221"/>
      <c r="D266" s="1222"/>
      <c r="E266" s="1223"/>
      <c r="F266" s="1224"/>
      <c r="G266" s="1225"/>
      <c r="H266" s="1219"/>
      <c r="I266" s="1226" t="str">
        <f t="shared" si="11"/>
        <v xml:space="preserve"> </v>
      </c>
      <c r="J266" s="1227" t="str">
        <f t="shared" si="12"/>
        <v xml:space="preserve"> </v>
      </c>
      <c r="K266" s="674" t="str">
        <f t="shared" si="13"/>
        <v xml:space="preserve"> </v>
      </c>
    </row>
    <row r="267" spans="1:11" ht="21" customHeight="1">
      <c r="A267" s="1219"/>
      <c r="B267" s="1220"/>
      <c r="C267" s="1221"/>
      <c r="D267" s="1222"/>
      <c r="E267" s="1223"/>
      <c r="F267" s="1224"/>
      <c r="G267" s="1225"/>
      <c r="H267" s="1219"/>
      <c r="I267" s="1226" t="str">
        <f t="shared" si="11"/>
        <v xml:space="preserve"> </v>
      </c>
      <c r="J267" s="1227" t="str">
        <f t="shared" si="12"/>
        <v xml:space="preserve"> </v>
      </c>
      <c r="K267" s="674" t="str">
        <f t="shared" si="13"/>
        <v xml:space="preserve"> </v>
      </c>
    </row>
    <row r="268" spans="1:11" ht="21" customHeight="1">
      <c r="A268" s="1219"/>
      <c r="B268" s="1220"/>
      <c r="C268" s="1221"/>
      <c r="D268" s="1222"/>
      <c r="E268" s="1223"/>
      <c r="F268" s="1224"/>
      <c r="G268" s="1225"/>
      <c r="H268" s="1219"/>
      <c r="I268" s="1226" t="str">
        <f t="shared" si="11"/>
        <v xml:space="preserve"> </v>
      </c>
      <c r="J268" s="1227" t="str">
        <f t="shared" si="12"/>
        <v xml:space="preserve"> </v>
      </c>
      <c r="K268" s="674" t="str">
        <f t="shared" si="13"/>
        <v xml:space="preserve"> </v>
      </c>
    </row>
    <row r="269" spans="1:11" ht="21" customHeight="1">
      <c r="A269" s="1219"/>
      <c r="B269" s="1220"/>
      <c r="C269" s="1221"/>
      <c r="D269" s="1222"/>
      <c r="E269" s="1223"/>
      <c r="F269" s="1224"/>
      <c r="G269" s="1225"/>
      <c r="H269" s="1219"/>
      <c r="I269" s="1226" t="str">
        <f t="shared" si="11"/>
        <v xml:space="preserve"> </v>
      </c>
      <c r="J269" s="1227" t="str">
        <f t="shared" si="12"/>
        <v xml:space="preserve"> </v>
      </c>
      <c r="K269" s="674" t="str">
        <f t="shared" si="13"/>
        <v xml:space="preserve"> </v>
      </c>
    </row>
    <row r="270" spans="1:11" ht="21" customHeight="1">
      <c r="A270" s="1219"/>
      <c r="B270" s="1220"/>
      <c r="C270" s="1221"/>
      <c r="D270" s="1222"/>
      <c r="E270" s="1223"/>
      <c r="F270" s="1224"/>
      <c r="G270" s="1225"/>
      <c r="H270" s="1219"/>
      <c r="I270" s="1226" t="str">
        <f t="shared" si="11"/>
        <v xml:space="preserve"> </v>
      </c>
      <c r="J270" s="1227" t="str">
        <f t="shared" si="12"/>
        <v xml:space="preserve"> </v>
      </c>
      <c r="K270" s="674" t="str">
        <f t="shared" si="13"/>
        <v xml:space="preserve"> </v>
      </c>
    </row>
    <row r="271" spans="1:11" ht="21" customHeight="1">
      <c r="A271" s="1219"/>
      <c r="B271" s="1220"/>
      <c r="C271" s="1221"/>
      <c r="D271" s="1222"/>
      <c r="E271" s="1223"/>
      <c r="F271" s="1224"/>
      <c r="G271" s="1225"/>
      <c r="H271" s="1219"/>
      <c r="I271" s="1226" t="str">
        <f t="shared" si="11"/>
        <v xml:space="preserve"> </v>
      </c>
      <c r="J271" s="1227" t="str">
        <f t="shared" si="12"/>
        <v xml:space="preserve"> </v>
      </c>
      <c r="K271" s="674" t="str">
        <f t="shared" si="13"/>
        <v xml:space="preserve"> </v>
      </c>
    </row>
    <row r="272" spans="1:11" ht="21" customHeight="1">
      <c r="A272" s="1013"/>
      <c r="B272" s="772"/>
      <c r="C272" s="671"/>
      <c r="D272" s="773"/>
      <c r="E272" s="774"/>
      <c r="F272" s="173"/>
      <c r="G272" s="672"/>
      <c r="H272" s="1013"/>
      <c r="I272" s="172" t="str">
        <f t="shared" si="11"/>
        <v xml:space="preserve"> </v>
      </c>
      <c r="J272" s="673" t="str">
        <f t="shared" si="12"/>
        <v xml:space="preserve"> </v>
      </c>
      <c r="K272" s="674" t="str">
        <f t="shared" si="13"/>
        <v xml:space="preserve"> </v>
      </c>
    </row>
    <row r="273" spans="1:11" ht="21" customHeight="1">
      <c r="A273" s="1013"/>
      <c r="B273" s="772"/>
      <c r="C273" s="671"/>
      <c r="D273" s="773"/>
      <c r="E273" s="774"/>
      <c r="F273" s="173"/>
      <c r="G273" s="672"/>
      <c r="H273" s="1013"/>
      <c r="I273" s="172" t="str">
        <f t="shared" si="11"/>
        <v xml:space="preserve"> </v>
      </c>
      <c r="J273" s="673" t="str">
        <f t="shared" si="12"/>
        <v xml:space="preserve"> </v>
      </c>
      <c r="K273" s="674" t="str">
        <f t="shared" si="13"/>
        <v xml:space="preserve"> </v>
      </c>
    </row>
    <row r="274" spans="1:11" ht="21" customHeight="1">
      <c r="A274" s="1013"/>
      <c r="B274" s="772"/>
      <c r="C274" s="671"/>
      <c r="D274" s="773"/>
      <c r="E274" s="774"/>
      <c r="F274" s="173"/>
      <c r="G274" s="672"/>
      <c r="H274" s="1013"/>
      <c r="I274" s="172" t="str">
        <f t="shared" si="11"/>
        <v xml:space="preserve"> </v>
      </c>
      <c r="J274" s="673" t="str">
        <f t="shared" si="12"/>
        <v xml:space="preserve"> </v>
      </c>
      <c r="K274" s="674" t="str">
        <f t="shared" si="13"/>
        <v xml:space="preserve"> </v>
      </c>
    </row>
    <row r="275" spans="1:11" ht="21" customHeight="1">
      <c r="A275" s="1013"/>
      <c r="B275" s="772"/>
      <c r="C275" s="671"/>
      <c r="D275" s="773"/>
      <c r="E275" s="774"/>
      <c r="F275" s="173"/>
      <c r="G275" s="672"/>
      <c r="H275" s="1013"/>
      <c r="I275" s="172" t="str">
        <f t="shared" si="11"/>
        <v xml:space="preserve"> </v>
      </c>
      <c r="J275" s="673" t="str">
        <f t="shared" si="12"/>
        <v xml:space="preserve"> </v>
      </c>
      <c r="K275" s="674" t="str">
        <f t="shared" si="13"/>
        <v xml:space="preserve"> </v>
      </c>
    </row>
    <row r="276" spans="1:11" ht="21" customHeight="1">
      <c r="A276" s="1013"/>
      <c r="B276" s="772"/>
      <c r="C276" s="671"/>
      <c r="D276" s="773"/>
      <c r="E276" s="774"/>
      <c r="F276" s="173"/>
      <c r="G276" s="672"/>
      <c r="H276" s="1013"/>
      <c r="I276" s="172" t="str">
        <f t="shared" si="11"/>
        <v xml:space="preserve"> </v>
      </c>
      <c r="J276" s="673" t="str">
        <f t="shared" si="12"/>
        <v xml:space="preserve"> </v>
      </c>
      <c r="K276" s="674" t="str">
        <f t="shared" si="13"/>
        <v xml:space="preserve"> </v>
      </c>
    </row>
    <row r="277" spans="1:11" ht="21" customHeight="1">
      <c r="A277" s="1013"/>
      <c r="B277" s="772"/>
      <c r="C277" s="671"/>
      <c r="D277" s="773"/>
      <c r="E277" s="774"/>
      <c r="F277" s="173"/>
      <c r="G277" s="672"/>
      <c r="H277" s="1013"/>
      <c r="I277" s="172" t="str">
        <f t="shared" si="11"/>
        <v xml:space="preserve"> </v>
      </c>
      <c r="J277" s="673" t="str">
        <f t="shared" si="12"/>
        <v xml:space="preserve"> </v>
      </c>
      <c r="K277" s="674" t="str">
        <f t="shared" si="13"/>
        <v xml:space="preserve"> </v>
      </c>
    </row>
    <row r="278" spans="1:11" ht="21" customHeight="1">
      <c r="A278" s="1013"/>
      <c r="B278" s="772"/>
      <c r="C278" s="671"/>
      <c r="D278" s="773"/>
      <c r="E278" s="774"/>
      <c r="F278" s="173"/>
      <c r="G278" s="672"/>
      <c r="H278" s="1013"/>
      <c r="I278" s="172" t="str">
        <f t="shared" si="11"/>
        <v xml:space="preserve"> </v>
      </c>
      <c r="J278" s="673" t="str">
        <f t="shared" si="12"/>
        <v xml:space="preserve"> </v>
      </c>
      <c r="K278" s="674" t="str">
        <f t="shared" si="13"/>
        <v xml:space="preserve"> </v>
      </c>
    </row>
    <row r="279" spans="1:11" ht="21" customHeight="1">
      <c r="A279" s="1013"/>
      <c r="B279" s="772"/>
      <c r="C279" s="671"/>
      <c r="D279" s="773"/>
      <c r="E279" s="774"/>
      <c r="F279" s="173"/>
      <c r="G279" s="672"/>
      <c r="H279" s="1013"/>
      <c r="I279" s="172" t="str">
        <f t="shared" si="11"/>
        <v xml:space="preserve"> </v>
      </c>
      <c r="J279" s="673" t="str">
        <f t="shared" si="12"/>
        <v xml:space="preserve"> </v>
      </c>
      <c r="K279" s="674" t="str">
        <f t="shared" si="13"/>
        <v xml:space="preserve"> </v>
      </c>
    </row>
    <row r="280" spans="1:11" ht="21" customHeight="1">
      <c r="A280" s="1013"/>
      <c r="B280" s="772"/>
      <c r="C280" s="671"/>
      <c r="D280" s="773"/>
      <c r="E280" s="774"/>
      <c r="F280" s="173"/>
      <c r="G280" s="672"/>
      <c r="H280" s="1013"/>
      <c r="I280" s="172" t="str">
        <f t="shared" si="11"/>
        <v xml:space="preserve"> </v>
      </c>
      <c r="J280" s="673" t="str">
        <f t="shared" si="12"/>
        <v xml:space="preserve"> </v>
      </c>
      <c r="K280" s="674" t="str">
        <f t="shared" si="13"/>
        <v xml:space="preserve"> </v>
      </c>
    </row>
    <row r="281" spans="1:11" ht="21" customHeight="1">
      <c r="A281" s="1013"/>
      <c r="B281" s="772"/>
      <c r="C281" s="671"/>
      <c r="D281" s="773"/>
      <c r="E281" s="774"/>
      <c r="F281" s="173"/>
      <c r="G281" s="672"/>
      <c r="H281" s="1013"/>
      <c r="I281" s="172" t="str">
        <f t="shared" si="11"/>
        <v xml:space="preserve"> </v>
      </c>
      <c r="J281" s="673" t="str">
        <f t="shared" si="12"/>
        <v xml:space="preserve"> </v>
      </c>
      <c r="K281" s="674" t="str">
        <f t="shared" si="13"/>
        <v xml:space="preserve"> </v>
      </c>
    </row>
    <row r="282" spans="1:11" ht="21" customHeight="1">
      <c r="A282" s="1013"/>
      <c r="B282" s="772"/>
      <c r="C282" s="671"/>
      <c r="D282" s="773"/>
      <c r="E282" s="774"/>
      <c r="F282" s="173"/>
      <c r="G282" s="672"/>
      <c r="H282" s="1013"/>
      <c r="I282" s="172" t="str">
        <f t="shared" si="11"/>
        <v xml:space="preserve"> </v>
      </c>
      <c r="J282" s="673" t="str">
        <f t="shared" si="12"/>
        <v xml:space="preserve"> </v>
      </c>
      <c r="K282" s="674" t="str">
        <f t="shared" si="13"/>
        <v xml:space="preserve"> </v>
      </c>
    </row>
    <row r="283" spans="1:11" ht="21" customHeight="1">
      <c r="A283" s="1013"/>
      <c r="B283" s="772"/>
      <c r="C283" s="671"/>
      <c r="D283" s="773"/>
      <c r="E283" s="774"/>
      <c r="F283" s="173"/>
      <c r="G283" s="672"/>
      <c r="H283" s="1013"/>
      <c r="I283" s="172" t="str">
        <f t="shared" si="11"/>
        <v xml:space="preserve"> </v>
      </c>
      <c r="J283" s="673" t="str">
        <f t="shared" si="12"/>
        <v xml:space="preserve"> </v>
      </c>
      <c r="K283" s="674" t="str">
        <f t="shared" si="13"/>
        <v xml:space="preserve"> </v>
      </c>
    </row>
    <row r="284" spans="1:11" ht="21" customHeight="1">
      <c r="A284" s="1013"/>
      <c r="B284" s="772"/>
      <c r="C284" s="671"/>
      <c r="D284" s="773"/>
      <c r="E284" s="774"/>
      <c r="F284" s="173"/>
      <c r="G284" s="672"/>
      <c r="H284" s="1013"/>
      <c r="I284" s="172" t="str">
        <f t="shared" si="11"/>
        <v xml:space="preserve"> </v>
      </c>
      <c r="J284" s="673" t="str">
        <f t="shared" si="12"/>
        <v xml:space="preserve"> </v>
      </c>
      <c r="K284" s="674" t="str">
        <f t="shared" si="13"/>
        <v xml:space="preserve"> </v>
      </c>
    </row>
    <row r="285" spans="1:11" ht="21" customHeight="1">
      <c r="A285" s="1013"/>
      <c r="B285" s="772"/>
      <c r="C285" s="671"/>
      <c r="D285" s="773"/>
      <c r="E285" s="774"/>
      <c r="F285" s="173"/>
      <c r="G285" s="672"/>
      <c r="H285" s="1013"/>
      <c r="I285" s="172" t="str">
        <f t="shared" si="11"/>
        <v xml:space="preserve"> </v>
      </c>
      <c r="J285" s="673" t="str">
        <f t="shared" si="12"/>
        <v xml:space="preserve"> </v>
      </c>
      <c r="K285" s="674" t="str">
        <f t="shared" si="13"/>
        <v xml:space="preserve"> </v>
      </c>
    </row>
    <row r="286" spans="1:11" ht="21" customHeight="1">
      <c r="A286" s="1013"/>
      <c r="B286" s="772"/>
      <c r="C286" s="671"/>
      <c r="D286" s="773"/>
      <c r="E286" s="774"/>
      <c r="F286" s="173"/>
      <c r="G286" s="672"/>
      <c r="H286" s="1013"/>
      <c r="I286" s="172" t="str">
        <f t="shared" si="11"/>
        <v xml:space="preserve"> </v>
      </c>
      <c r="J286" s="673" t="str">
        <f t="shared" si="12"/>
        <v xml:space="preserve"> </v>
      </c>
      <c r="K286" s="674" t="str">
        <f t="shared" si="13"/>
        <v xml:space="preserve"> </v>
      </c>
    </row>
    <row r="287" spans="1:11" ht="21" customHeight="1">
      <c r="A287" s="1013"/>
      <c r="B287" s="772"/>
      <c r="C287" s="671"/>
      <c r="D287" s="773"/>
      <c r="E287" s="774"/>
      <c r="F287" s="173"/>
      <c r="G287" s="672"/>
      <c r="H287" s="1013"/>
      <c r="I287" s="172" t="str">
        <f t="shared" ref="I287:I350" si="14">IF($D287="Заплыв №","РЕЗУЛЬТАТ"," ")</f>
        <v xml:space="preserve"> </v>
      </c>
      <c r="J287" s="673" t="str">
        <f t="shared" ref="J287:J350" si="15">IF($D287="Заплыв №","ФИНИШ"," ")</f>
        <v xml:space="preserve"> </v>
      </c>
      <c r="K287" s="674" t="str">
        <f t="shared" ref="K287:K350" si="16">IF($D287="Заплыв №","ПРИМ."," ")</f>
        <v xml:space="preserve"> </v>
      </c>
    </row>
    <row r="288" spans="1:11" ht="21" customHeight="1">
      <c r="A288" s="1013"/>
      <c r="B288" s="772"/>
      <c r="C288" s="671"/>
      <c r="D288" s="773"/>
      <c r="E288" s="774"/>
      <c r="F288" s="173"/>
      <c r="G288" s="672"/>
      <c r="H288" s="1013"/>
      <c r="I288" s="172" t="str">
        <f t="shared" si="14"/>
        <v xml:space="preserve"> </v>
      </c>
      <c r="J288" s="673" t="str">
        <f t="shared" si="15"/>
        <v xml:space="preserve"> </v>
      </c>
      <c r="K288" s="674" t="str">
        <f t="shared" si="16"/>
        <v xml:space="preserve"> </v>
      </c>
    </row>
    <row r="289" spans="1:11" ht="21" customHeight="1">
      <c r="A289" s="1013"/>
      <c r="B289" s="772"/>
      <c r="C289" s="671"/>
      <c r="D289" s="773"/>
      <c r="E289" s="774"/>
      <c r="F289" s="173"/>
      <c r="G289" s="672"/>
      <c r="H289" s="1013"/>
      <c r="I289" s="172" t="str">
        <f t="shared" si="14"/>
        <v xml:space="preserve"> </v>
      </c>
      <c r="J289" s="673" t="str">
        <f t="shared" si="15"/>
        <v xml:space="preserve"> </v>
      </c>
      <c r="K289" s="674" t="str">
        <f t="shared" si="16"/>
        <v xml:space="preserve"> </v>
      </c>
    </row>
    <row r="290" spans="1:11" ht="21" customHeight="1">
      <c r="A290" s="1013"/>
      <c r="B290" s="772"/>
      <c r="C290" s="671"/>
      <c r="D290" s="773"/>
      <c r="E290" s="774"/>
      <c r="F290" s="173"/>
      <c r="G290" s="672"/>
      <c r="H290" s="1013"/>
      <c r="I290" s="172" t="str">
        <f t="shared" si="14"/>
        <v xml:space="preserve"> </v>
      </c>
      <c r="J290" s="673" t="str">
        <f t="shared" si="15"/>
        <v xml:space="preserve"> </v>
      </c>
      <c r="K290" s="674" t="str">
        <f t="shared" si="16"/>
        <v xml:space="preserve"> </v>
      </c>
    </row>
    <row r="291" spans="1:11" ht="21" customHeight="1">
      <c r="A291" s="1013"/>
      <c r="B291" s="772"/>
      <c r="C291" s="671"/>
      <c r="D291" s="773"/>
      <c r="E291" s="774"/>
      <c r="F291" s="173"/>
      <c r="G291" s="672"/>
      <c r="H291" s="1013"/>
      <c r="I291" s="172" t="str">
        <f t="shared" si="14"/>
        <v xml:space="preserve"> </v>
      </c>
      <c r="J291" s="673" t="str">
        <f t="shared" si="15"/>
        <v xml:space="preserve"> </v>
      </c>
      <c r="K291" s="674" t="str">
        <f t="shared" si="16"/>
        <v xml:space="preserve"> </v>
      </c>
    </row>
    <row r="292" spans="1:11" ht="21" customHeight="1">
      <c r="A292" s="1013"/>
      <c r="B292" s="772"/>
      <c r="C292" s="671"/>
      <c r="D292" s="773"/>
      <c r="E292" s="774"/>
      <c r="F292" s="173"/>
      <c r="G292" s="672"/>
      <c r="H292" s="1013"/>
      <c r="I292" s="172" t="str">
        <f t="shared" si="14"/>
        <v xml:space="preserve"> </v>
      </c>
      <c r="J292" s="673" t="str">
        <f t="shared" si="15"/>
        <v xml:space="preserve"> </v>
      </c>
      <c r="K292" s="674" t="str">
        <f t="shared" si="16"/>
        <v xml:space="preserve"> </v>
      </c>
    </row>
    <row r="293" spans="1:11" ht="21" customHeight="1">
      <c r="A293" s="1013"/>
      <c r="B293" s="772"/>
      <c r="C293" s="671"/>
      <c r="D293" s="773"/>
      <c r="E293" s="774"/>
      <c r="F293" s="173"/>
      <c r="G293" s="672"/>
      <c r="H293" s="1013"/>
      <c r="I293" s="172" t="str">
        <f t="shared" si="14"/>
        <v xml:space="preserve"> </v>
      </c>
      <c r="J293" s="673" t="str">
        <f t="shared" si="15"/>
        <v xml:space="preserve"> </v>
      </c>
      <c r="K293" s="674" t="str">
        <f t="shared" si="16"/>
        <v xml:space="preserve"> </v>
      </c>
    </row>
    <row r="294" spans="1:11" ht="21" customHeight="1">
      <c r="A294" s="1013"/>
      <c r="B294" s="772"/>
      <c r="C294" s="671"/>
      <c r="D294" s="773"/>
      <c r="E294" s="774"/>
      <c r="F294" s="173"/>
      <c r="G294" s="672"/>
      <c r="H294" s="1013"/>
      <c r="I294" s="172" t="str">
        <f t="shared" si="14"/>
        <v xml:space="preserve"> </v>
      </c>
      <c r="J294" s="673" t="str">
        <f t="shared" si="15"/>
        <v xml:space="preserve"> </v>
      </c>
      <c r="K294" s="674" t="str">
        <f t="shared" si="16"/>
        <v xml:space="preserve"> </v>
      </c>
    </row>
    <row r="295" spans="1:11" ht="21" customHeight="1">
      <c r="A295" s="1013"/>
      <c r="B295" s="772"/>
      <c r="C295" s="671"/>
      <c r="D295" s="773"/>
      <c r="E295" s="774"/>
      <c r="F295" s="173"/>
      <c r="G295" s="672"/>
      <c r="H295" s="1013"/>
      <c r="I295" s="172" t="str">
        <f t="shared" si="14"/>
        <v xml:space="preserve"> </v>
      </c>
      <c r="J295" s="673" t="str">
        <f t="shared" si="15"/>
        <v xml:space="preserve"> </v>
      </c>
      <c r="K295" s="674" t="str">
        <f t="shared" si="16"/>
        <v xml:space="preserve"> </v>
      </c>
    </row>
    <row r="296" spans="1:11" ht="21" customHeight="1">
      <c r="A296" s="1013"/>
      <c r="B296" s="772"/>
      <c r="C296" s="671"/>
      <c r="D296" s="773"/>
      <c r="E296" s="774"/>
      <c r="F296" s="173"/>
      <c r="G296" s="672"/>
      <c r="H296" s="1013"/>
      <c r="I296" s="172" t="str">
        <f t="shared" si="14"/>
        <v xml:space="preserve"> </v>
      </c>
      <c r="J296" s="673" t="str">
        <f t="shared" si="15"/>
        <v xml:space="preserve"> </v>
      </c>
      <c r="K296" s="674" t="str">
        <f t="shared" si="16"/>
        <v xml:space="preserve"> </v>
      </c>
    </row>
    <row r="297" spans="1:11" ht="21" customHeight="1">
      <c r="A297" s="1013"/>
      <c r="B297" s="772"/>
      <c r="C297" s="671"/>
      <c r="D297" s="773"/>
      <c r="E297" s="774"/>
      <c r="F297" s="173"/>
      <c r="G297" s="672"/>
      <c r="H297" s="1013"/>
      <c r="I297" s="172" t="str">
        <f t="shared" si="14"/>
        <v xml:space="preserve"> </v>
      </c>
      <c r="J297" s="673" t="str">
        <f t="shared" si="15"/>
        <v xml:space="preserve"> </v>
      </c>
      <c r="K297" s="674" t="str">
        <f t="shared" si="16"/>
        <v xml:space="preserve"> </v>
      </c>
    </row>
    <row r="298" spans="1:11" ht="21" customHeight="1">
      <c r="A298" s="1013"/>
      <c r="B298" s="772"/>
      <c r="C298" s="671"/>
      <c r="D298" s="773"/>
      <c r="E298" s="774"/>
      <c r="F298" s="173"/>
      <c r="G298" s="672"/>
      <c r="H298" s="1013"/>
      <c r="I298" s="172" t="str">
        <f t="shared" si="14"/>
        <v xml:space="preserve"> </v>
      </c>
      <c r="J298" s="673" t="str">
        <f t="shared" si="15"/>
        <v xml:space="preserve"> </v>
      </c>
      <c r="K298" s="674" t="str">
        <f t="shared" si="16"/>
        <v xml:space="preserve"> </v>
      </c>
    </row>
    <row r="299" spans="1:11" ht="21" customHeight="1">
      <c r="A299" s="1013"/>
      <c r="B299" s="772"/>
      <c r="C299" s="671"/>
      <c r="D299" s="773"/>
      <c r="E299" s="774"/>
      <c r="F299" s="173"/>
      <c r="G299" s="672"/>
      <c r="H299" s="1013"/>
      <c r="I299" s="172" t="str">
        <f t="shared" si="14"/>
        <v xml:space="preserve"> </v>
      </c>
      <c r="J299" s="673" t="str">
        <f t="shared" si="15"/>
        <v xml:space="preserve"> </v>
      </c>
      <c r="K299" s="674" t="str">
        <f t="shared" si="16"/>
        <v xml:space="preserve"> </v>
      </c>
    </row>
    <row r="300" spans="1:11" ht="21" customHeight="1">
      <c r="A300" s="1013"/>
      <c r="B300" s="772"/>
      <c r="C300" s="671"/>
      <c r="D300" s="773"/>
      <c r="E300" s="774"/>
      <c r="F300" s="173"/>
      <c r="G300" s="672"/>
      <c r="H300" s="1013"/>
      <c r="I300" s="172" t="str">
        <f t="shared" si="14"/>
        <v xml:space="preserve"> </v>
      </c>
      <c r="J300" s="673" t="str">
        <f t="shared" si="15"/>
        <v xml:space="preserve"> </v>
      </c>
      <c r="K300" s="674" t="str">
        <f t="shared" si="16"/>
        <v xml:space="preserve"> </v>
      </c>
    </row>
    <row r="301" spans="1:11" ht="21" customHeight="1">
      <c r="A301" s="1013"/>
      <c r="B301" s="772"/>
      <c r="C301" s="671"/>
      <c r="D301" s="773"/>
      <c r="E301" s="774"/>
      <c r="F301" s="173"/>
      <c r="G301" s="672"/>
      <c r="H301" s="1013"/>
      <c r="I301" s="172" t="str">
        <f t="shared" si="14"/>
        <v xml:space="preserve"> </v>
      </c>
      <c r="J301" s="673" t="str">
        <f t="shared" si="15"/>
        <v xml:space="preserve"> </v>
      </c>
      <c r="K301" s="674" t="str">
        <f t="shared" si="16"/>
        <v xml:space="preserve"> </v>
      </c>
    </row>
    <row r="302" spans="1:11" ht="21" customHeight="1">
      <c r="A302" s="1013"/>
      <c r="B302" s="772"/>
      <c r="C302" s="671"/>
      <c r="D302" s="773"/>
      <c r="E302" s="774"/>
      <c r="F302" s="173"/>
      <c r="G302" s="672"/>
      <c r="H302" s="1013"/>
      <c r="I302" s="172" t="str">
        <f t="shared" si="14"/>
        <v xml:space="preserve"> </v>
      </c>
      <c r="J302" s="673" t="str">
        <f t="shared" si="15"/>
        <v xml:space="preserve"> </v>
      </c>
      <c r="K302" s="674" t="str">
        <f t="shared" si="16"/>
        <v xml:space="preserve"> </v>
      </c>
    </row>
    <row r="303" spans="1:11" ht="21" customHeight="1">
      <c r="A303" s="1013"/>
      <c r="B303" s="772"/>
      <c r="C303" s="671"/>
      <c r="D303" s="773"/>
      <c r="E303" s="774"/>
      <c r="F303" s="173"/>
      <c r="G303" s="672"/>
      <c r="H303" s="1013"/>
      <c r="I303" s="172" t="str">
        <f t="shared" si="14"/>
        <v xml:space="preserve"> </v>
      </c>
      <c r="J303" s="673" t="str">
        <f t="shared" si="15"/>
        <v xml:space="preserve"> </v>
      </c>
      <c r="K303" s="674" t="str">
        <f t="shared" si="16"/>
        <v xml:space="preserve"> </v>
      </c>
    </row>
    <row r="304" spans="1:11" ht="21" customHeight="1">
      <c r="A304" s="1013"/>
      <c r="B304" s="772"/>
      <c r="C304" s="671"/>
      <c r="D304" s="773"/>
      <c r="E304" s="774"/>
      <c r="F304" s="173"/>
      <c r="G304" s="672"/>
      <c r="H304" s="1013"/>
      <c r="I304" s="172" t="str">
        <f t="shared" si="14"/>
        <v xml:space="preserve"> </v>
      </c>
      <c r="J304" s="673" t="str">
        <f t="shared" si="15"/>
        <v xml:space="preserve"> </v>
      </c>
      <c r="K304" s="674" t="str">
        <f t="shared" si="16"/>
        <v xml:space="preserve"> </v>
      </c>
    </row>
    <row r="305" spans="1:11" ht="21" customHeight="1">
      <c r="A305" s="1013"/>
      <c r="B305" s="772"/>
      <c r="C305" s="671"/>
      <c r="D305" s="773"/>
      <c r="E305" s="774"/>
      <c r="F305" s="173"/>
      <c r="G305" s="672"/>
      <c r="H305" s="1013"/>
      <c r="I305" s="172" t="str">
        <f t="shared" si="14"/>
        <v xml:space="preserve"> </v>
      </c>
      <c r="J305" s="673" t="str">
        <f t="shared" si="15"/>
        <v xml:space="preserve"> </v>
      </c>
      <c r="K305" s="674" t="str">
        <f t="shared" si="16"/>
        <v xml:space="preserve"> </v>
      </c>
    </row>
    <row r="306" spans="1:11" ht="21" customHeight="1">
      <c r="A306" s="1013"/>
      <c r="B306" s="772"/>
      <c r="C306" s="671"/>
      <c r="D306" s="773"/>
      <c r="E306" s="774"/>
      <c r="F306" s="173"/>
      <c r="G306" s="672"/>
      <c r="H306" s="1013"/>
      <c r="I306" s="172" t="str">
        <f t="shared" si="14"/>
        <v xml:space="preserve"> </v>
      </c>
      <c r="J306" s="673" t="str">
        <f t="shared" si="15"/>
        <v xml:space="preserve"> </v>
      </c>
      <c r="K306" s="674" t="str">
        <f t="shared" si="16"/>
        <v xml:space="preserve"> </v>
      </c>
    </row>
    <row r="307" spans="1:11" ht="21" customHeight="1">
      <c r="A307" s="1013"/>
      <c r="B307" s="772"/>
      <c r="C307" s="671"/>
      <c r="D307" s="773"/>
      <c r="E307" s="774"/>
      <c r="F307" s="173"/>
      <c r="G307" s="672"/>
      <c r="H307" s="1013"/>
      <c r="I307" s="172" t="str">
        <f t="shared" si="14"/>
        <v xml:space="preserve"> </v>
      </c>
      <c r="J307" s="673" t="str">
        <f t="shared" si="15"/>
        <v xml:space="preserve"> </v>
      </c>
      <c r="K307" s="674" t="str">
        <f t="shared" si="16"/>
        <v xml:space="preserve"> </v>
      </c>
    </row>
    <row r="308" spans="1:11" ht="21" customHeight="1">
      <c r="A308" s="1013"/>
      <c r="B308" s="772"/>
      <c r="C308" s="671"/>
      <c r="D308" s="773"/>
      <c r="E308" s="774"/>
      <c r="F308" s="173"/>
      <c r="G308" s="672"/>
      <c r="H308" s="1013"/>
      <c r="I308" s="172" t="str">
        <f t="shared" si="14"/>
        <v xml:space="preserve"> </v>
      </c>
      <c r="J308" s="673" t="str">
        <f t="shared" si="15"/>
        <v xml:space="preserve"> </v>
      </c>
      <c r="K308" s="674" t="str">
        <f t="shared" si="16"/>
        <v xml:space="preserve"> </v>
      </c>
    </row>
    <row r="309" spans="1:11" ht="21" customHeight="1">
      <c r="A309" s="1013"/>
      <c r="B309" s="772"/>
      <c r="C309" s="671"/>
      <c r="D309" s="773"/>
      <c r="E309" s="774"/>
      <c r="F309" s="173"/>
      <c r="G309" s="672"/>
      <c r="H309" s="1013"/>
      <c r="I309" s="172" t="str">
        <f t="shared" si="14"/>
        <v xml:space="preserve"> </v>
      </c>
      <c r="J309" s="673" t="str">
        <f t="shared" si="15"/>
        <v xml:space="preserve"> </v>
      </c>
      <c r="K309" s="674" t="str">
        <f t="shared" si="16"/>
        <v xml:space="preserve"> </v>
      </c>
    </row>
    <row r="310" spans="1:11" ht="21" customHeight="1">
      <c r="A310" s="1013"/>
      <c r="B310" s="772"/>
      <c r="C310" s="671"/>
      <c r="D310" s="773"/>
      <c r="E310" s="774"/>
      <c r="F310" s="173"/>
      <c r="G310" s="672"/>
      <c r="H310" s="1013"/>
      <c r="I310" s="172" t="str">
        <f t="shared" si="14"/>
        <v xml:space="preserve"> </v>
      </c>
      <c r="J310" s="673" t="str">
        <f t="shared" si="15"/>
        <v xml:space="preserve"> </v>
      </c>
      <c r="K310" s="674" t="str">
        <f t="shared" si="16"/>
        <v xml:space="preserve"> </v>
      </c>
    </row>
    <row r="311" spans="1:11" ht="21" customHeight="1">
      <c r="A311" s="1013"/>
      <c r="B311" s="772"/>
      <c r="C311" s="671"/>
      <c r="D311" s="773"/>
      <c r="E311" s="774"/>
      <c r="F311" s="173"/>
      <c r="G311" s="672"/>
      <c r="H311" s="1013"/>
      <c r="I311" s="172" t="str">
        <f t="shared" si="14"/>
        <v xml:space="preserve"> </v>
      </c>
      <c r="J311" s="673" t="str">
        <f t="shared" si="15"/>
        <v xml:space="preserve"> </v>
      </c>
      <c r="K311" s="674" t="str">
        <f t="shared" si="16"/>
        <v xml:space="preserve"> </v>
      </c>
    </row>
    <row r="312" spans="1:11" ht="21" customHeight="1">
      <c r="A312" s="1013"/>
      <c r="B312" s="772"/>
      <c r="C312" s="671"/>
      <c r="D312" s="773"/>
      <c r="E312" s="774"/>
      <c r="F312" s="173"/>
      <c r="G312" s="672"/>
      <c r="H312" s="1013"/>
      <c r="I312" s="172" t="str">
        <f t="shared" si="14"/>
        <v xml:space="preserve"> </v>
      </c>
      <c r="J312" s="673" t="str">
        <f t="shared" si="15"/>
        <v xml:space="preserve"> </v>
      </c>
      <c r="K312" s="674" t="str">
        <f t="shared" si="16"/>
        <v xml:space="preserve"> </v>
      </c>
    </row>
    <row r="313" spans="1:11" ht="21" customHeight="1">
      <c r="A313" s="1013"/>
      <c r="B313" s="772"/>
      <c r="C313" s="671"/>
      <c r="D313" s="773"/>
      <c r="E313" s="774"/>
      <c r="F313" s="173"/>
      <c r="G313" s="672"/>
      <c r="H313" s="1013"/>
      <c r="I313" s="172" t="str">
        <f t="shared" si="14"/>
        <v xml:space="preserve"> </v>
      </c>
      <c r="J313" s="673" t="str">
        <f t="shared" si="15"/>
        <v xml:space="preserve"> </v>
      </c>
      <c r="K313" s="674" t="str">
        <f t="shared" si="16"/>
        <v xml:space="preserve"> </v>
      </c>
    </row>
    <row r="314" spans="1:11" ht="21" customHeight="1">
      <c r="A314" s="1013"/>
      <c r="B314" s="772"/>
      <c r="C314" s="671"/>
      <c r="D314" s="773"/>
      <c r="E314" s="774"/>
      <c r="F314" s="173"/>
      <c r="G314" s="672"/>
      <c r="H314" s="1013"/>
      <c r="I314" s="172" t="str">
        <f t="shared" si="14"/>
        <v xml:space="preserve"> </v>
      </c>
      <c r="J314" s="673" t="str">
        <f t="shared" si="15"/>
        <v xml:space="preserve"> </v>
      </c>
      <c r="K314" s="674" t="str">
        <f t="shared" si="16"/>
        <v xml:space="preserve"> </v>
      </c>
    </row>
    <row r="315" spans="1:11" ht="21" customHeight="1">
      <c r="A315" s="1013"/>
      <c r="B315" s="772"/>
      <c r="C315" s="671"/>
      <c r="D315" s="773"/>
      <c r="E315" s="774"/>
      <c r="F315" s="173"/>
      <c r="G315" s="672"/>
      <c r="H315" s="1013"/>
      <c r="I315" s="172" t="str">
        <f t="shared" si="14"/>
        <v xml:space="preserve"> </v>
      </c>
      <c r="J315" s="673" t="str">
        <f t="shared" si="15"/>
        <v xml:space="preserve"> </v>
      </c>
      <c r="K315" s="674" t="str">
        <f t="shared" si="16"/>
        <v xml:space="preserve"> </v>
      </c>
    </row>
    <row r="316" spans="1:11" ht="21" customHeight="1">
      <c r="A316" s="1013"/>
      <c r="B316" s="772"/>
      <c r="C316" s="671"/>
      <c r="D316" s="773"/>
      <c r="E316" s="774"/>
      <c r="F316" s="173"/>
      <c r="G316" s="672"/>
      <c r="H316" s="1013"/>
      <c r="I316" s="172" t="str">
        <f t="shared" si="14"/>
        <v xml:space="preserve"> </v>
      </c>
      <c r="J316" s="673" t="str">
        <f t="shared" si="15"/>
        <v xml:space="preserve"> </v>
      </c>
      <c r="K316" s="674" t="str">
        <f t="shared" si="16"/>
        <v xml:space="preserve"> </v>
      </c>
    </row>
    <row r="317" spans="1:11" ht="21" customHeight="1">
      <c r="A317" s="1013"/>
      <c r="B317" s="772"/>
      <c r="C317" s="671"/>
      <c r="D317" s="773"/>
      <c r="E317" s="774"/>
      <c r="F317" s="173"/>
      <c r="G317" s="672"/>
      <c r="H317" s="1013"/>
      <c r="I317" s="172" t="str">
        <f t="shared" si="14"/>
        <v xml:space="preserve"> </v>
      </c>
      <c r="J317" s="673" t="str">
        <f t="shared" si="15"/>
        <v xml:space="preserve"> </v>
      </c>
      <c r="K317" s="674" t="str">
        <f t="shared" si="16"/>
        <v xml:space="preserve"> </v>
      </c>
    </row>
    <row r="318" spans="1:11" ht="21" customHeight="1">
      <c r="A318" s="1013"/>
      <c r="B318" s="772"/>
      <c r="C318" s="671"/>
      <c r="D318" s="773"/>
      <c r="E318" s="774"/>
      <c r="F318" s="173"/>
      <c r="G318" s="672"/>
      <c r="H318" s="1013"/>
      <c r="I318" s="172" t="str">
        <f t="shared" si="14"/>
        <v xml:space="preserve"> </v>
      </c>
      <c r="J318" s="673" t="str">
        <f t="shared" si="15"/>
        <v xml:space="preserve"> </v>
      </c>
      <c r="K318" s="674" t="str">
        <f t="shared" si="16"/>
        <v xml:space="preserve"> </v>
      </c>
    </row>
    <row r="319" spans="1:11" ht="21" customHeight="1">
      <c r="A319" s="1013"/>
      <c r="B319" s="772"/>
      <c r="C319" s="671"/>
      <c r="D319" s="773"/>
      <c r="E319" s="774"/>
      <c r="F319" s="173"/>
      <c r="G319" s="672"/>
      <c r="H319" s="1013"/>
      <c r="I319" s="172" t="str">
        <f t="shared" si="14"/>
        <v xml:space="preserve"> </v>
      </c>
      <c r="J319" s="673" t="str">
        <f t="shared" si="15"/>
        <v xml:space="preserve"> </v>
      </c>
      <c r="K319" s="674" t="str">
        <f t="shared" si="16"/>
        <v xml:space="preserve"> </v>
      </c>
    </row>
    <row r="320" spans="1:11" ht="21" customHeight="1">
      <c r="A320" s="1013"/>
      <c r="B320" s="772"/>
      <c r="C320" s="671"/>
      <c r="D320" s="773"/>
      <c r="E320" s="774"/>
      <c r="F320" s="173"/>
      <c r="G320" s="672"/>
      <c r="H320" s="1013"/>
      <c r="I320" s="172" t="str">
        <f t="shared" si="14"/>
        <v xml:space="preserve"> </v>
      </c>
      <c r="J320" s="673" t="str">
        <f t="shared" si="15"/>
        <v xml:space="preserve"> </v>
      </c>
      <c r="K320" s="674" t="str">
        <f t="shared" si="16"/>
        <v xml:space="preserve"> </v>
      </c>
    </row>
    <row r="321" spans="1:11" ht="21" customHeight="1">
      <c r="A321" s="1013"/>
      <c r="B321" s="772"/>
      <c r="C321" s="671"/>
      <c r="D321" s="773"/>
      <c r="E321" s="774"/>
      <c r="F321" s="173"/>
      <c r="G321" s="672"/>
      <c r="H321" s="1013"/>
      <c r="I321" s="172" t="str">
        <f t="shared" si="14"/>
        <v xml:space="preserve"> </v>
      </c>
      <c r="J321" s="673" t="str">
        <f t="shared" si="15"/>
        <v xml:space="preserve"> </v>
      </c>
      <c r="K321" s="674" t="str">
        <f t="shared" si="16"/>
        <v xml:space="preserve"> </v>
      </c>
    </row>
    <row r="322" spans="1:11" ht="21" customHeight="1">
      <c r="A322" s="1013"/>
      <c r="B322" s="772"/>
      <c r="C322" s="671"/>
      <c r="D322" s="773"/>
      <c r="E322" s="774"/>
      <c r="F322" s="173"/>
      <c r="G322" s="672"/>
      <c r="H322" s="1013"/>
      <c r="I322" s="172" t="str">
        <f t="shared" si="14"/>
        <v xml:space="preserve"> </v>
      </c>
      <c r="J322" s="673" t="str">
        <f t="shared" si="15"/>
        <v xml:space="preserve"> </v>
      </c>
      <c r="K322" s="674" t="str">
        <f t="shared" si="16"/>
        <v xml:space="preserve"> </v>
      </c>
    </row>
    <row r="323" spans="1:11" ht="21" customHeight="1">
      <c r="A323" s="1013"/>
      <c r="B323" s="772"/>
      <c r="C323" s="671"/>
      <c r="D323" s="773"/>
      <c r="E323" s="774"/>
      <c r="F323" s="173"/>
      <c r="G323" s="672"/>
      <c r="H323" s="1013"/>
      <c r="I323" s="172" t="str">
        <f t="shared" si="14"/>
        <v xml:space="preserve"> </v>
      </c>
      <c r="J323" s="673" t="str">
        <f t="shared" si="15"/>
        <v xml:space="preserve"> </v>
      </c>
      <c r="K323" s="674" t="str">
        <f t="shared" si="16"/>
        <v xml:space="preserve"> </v>
      </c>
    </row>
    <row r="324" spans="1:11" ht="21" customHeight="1">
      <c r="A324" s="1013"/>
      <c r="B324" s="772"/>
      <c r="C324" s="671"/>
      <c r="D324" s="773"/>
      <c r="E324" s="774"/>
      <c r="F324" s="173"/>
      <c r="G324" s="672"/>
      <c r="H324" s="1013"/>
      <c r="I324" s="172" t="str">
        <f t="shared" si="14"/>
        <v xml:space="preserve"> </v>
      </c>
      <c r="J324" s="673" t="str">
        <f t="shared" si="15"/>
        <v xml:space="preserve"> </v>
      </c>
      <c r="K324" s="674" t="str">
        <f t="shared" si="16"/>
        <v xml:space="preserve"> </v>
      </c>
    </row>
    <row r="325" spans="1:11" ht="21" customHeight="1">
      <c r="A325" s="1013"/>
      <c r="B325" s="772"/>
      <c r="C325" s="671"/>
      <c r="D325" s="773"/>
      <c r="E325" s="774"/>
      <c r="F325" s="173"/>
      <c r="G325" s="672"/>
      <c r="H325" s="1013"/>
      <c r="I325" s="172" t="str">
        <f t="shared" si="14"/>
        <v xml:space="preserve"> </v>
      </c>
      <c r="J325" s="673" t="str">
        <f t="shared" si="15"/>
        <v xml:space="preserve"> </v>
      </c>
      <c r="K325" s="674" t="str">
        <f t="shared" si="16"/>
        <v xml:space="preserve"> </v>
      </c>
    </row>
    <row r="326" spans="1:11" ht="21" customHeight="1">
      <c r="A326" s="1013"/>
      <c r="B326" s="772"/>
      <c r="C326" s="671"/>
      <c r="D326" s="773"/>
      <c r="E326" s="774"/>
      <c r="F326" s="173"/>
      <c r="G326" s="672"/>
      <c r="H326" s="1013"/>
      <c r="I326" s="172" t="str">
        <f t="shared" si="14"/>
        <v xml:space="preserve"> </v>
      </c>
      <c r="J326" s="673" t="str">
        <f t="shared" si="15"/>
        <v xml:space="preserve"> </v>
      </c>
      <c r="K326" s="674" t="str">
        <f t="shared" si="16"/>
        <v xml:space="preserve"> </v>
      </c>
    </row>
    <row r="327" spans="1:11" ht="21" customHeight="1">
      <c r="A327" s="1013"/>
      <c r="B327" s="772"/>
      <c r="C327" s="671"/>
      <c r="D327" s="773"/>
      <c r="E327" s="774"/>
      <c r="F327" s="173"/>
      <c r="G327" s="672"/>
      <c r="H327" s="1013"/>
      <c r="I327" s="172" t="str">
        <f t="shared" si="14"/>
        <v xml:space="preserve"> </v>
      </c>
      <c r="J327" s="673" t="str">
        <f t="shared" si="15"/>
        <v xml:space="preserve"> </v>
      </c>
      <c r="K327" s="674" t="str">
        <f t="shared" si="16"/>
        <v xml:space="preserve"> </v>
      </c>
    </row>
    <row r="328" spans="1:11" ht="21" customHeight="1">
      <c r="A328" s="1013"/>
      <c r="B328" s="772"/>
      <c r="C328" s="671"/>
      <c r="D328" s="773"/>
      <c r="E328" s="774"/>
      <c r="F328" s="173"/>
      <c r="G328" s="672"/>
      <c r="H328" s="1013"/>
      <c r="I328" s="172" t="str">
        <f t="shared" si="14"/>
        <v xml:space="preserve"> </v>
      </c>
      <c r="J328" s="673" t="str">
        <f t="shared" si="15"/>
        <v xml:space="preserve"> </v>
      </c>
      <c r="K328" s="674" t="str">
        <f t="shared" si="16"/>
        <v xml:space="preserve"> </v>
      </c>
    </row>
    <row r="329" spans="1:11" ht="21" customHeight="1">
      <c r="A329" s="1013"/>
      <c r="B329" s="772"/>
      <c r="C329" s="671"/>
      <c r="D329" s="773"/>
      <c r="E329" s="774"/>
      <c r="F329" s="173"/>
      <c r="G329" s="672"/>
      <c r="H329" s="1013"/>
      <c r="I329" s="172" t="str">
        <f t="shared" si="14"/>
        <v xml:space="preserve"> </v>
      </c>
      <c r="J329" s="673" t="str">
        <f t="shared" si="15"/>
        <v xml:space="preserve"> </v>
      </c>
      <c r="K329" s="674" t="str">
        <f t="shared" si="16"/>
        <v xml:space="preserve"> </v>
      </c>
    </row>
    <row r="330" spans="1:11" ht="21" customHeight="1">
      <c r="A330" s="1013"/>
      <c r="B330" s="772"/>
      <c r="C330" s="671"/>
      <c r="D330" s="773"/>
      <c r="E330" s="774"/>
      <c r="F330" s="173"/>
      <c r="G330" s="672"/>
      <c r="H330" s="1013"/>
      <c r="I330" s="172" t="str">
        <f t="shared" si="14"/>
        <v xml:space="preserve"> </v>
      </c>
      <c r="J330" s="673" t="str">
        <f t="shared" si="15"/>
        <v xml:space="preserve"> </v>
      </c>
      <c r="K330" s="674" t="str">
        <f t="shared" si="16"/>
        <v xml:space="preserve"> </v>
      </c>
    </row>
    <row r="331" spans="1:11" ht="21" customHeight="1">
      <c r="A331" s="1013"/>
      <c r="B331" s="772"/>
      <c r="C331" s="671"/>
      <c r="D331" s="773"/>
      <c r="E331" s="774"/>
      <c r="F331" s="173"/>
      <c r="G331" s="672"/>
      <c r="H331" s="1013"/>
      <c r="I331" s="172" t="str">
        <f t="shared" si="14"/>
        <v xml:space="preserve"> </v>
      </c>
      <c r="J331" s="673" t="str">
        <f t="shared" si="15"/>
        <v xml:space="preserve"> </v>
      </c>
      <c r="K331" s="674" t="str">
        <f t="shared" si="16"/>
        <v xml:space="preserve"> </v>
      </c>
    </row>
    <row r="332" spans="1:11" ht="21" customHeight="1">
      <c r="A332" s="1013"/>
      <c r="B332" s="772"/>
      <c r="C332" s="671"/>
      <c r="D332" s="773"/>
      <c r="E332" s="774"/>
      <c r="F332" s="173"/>
      <c r="G332" s="672"/>
      <c r="H332" s="1013"/>
      <c r="I332" s="172" t="str">
        <f t="shared" si="14"/>
        <v xml:space="preserve"> </v>
      </c>
      <c r="J332" s="673" t="str">
        <f t="shared" si="15"/>
        <v xml:space="preserve"> </v>
      </c>
      <c r="K332" s="674" t="str">
        <f t="shared" si="16"/>
        <v xml:space="preserve"> </v>
      </c>
    </row>
    <row r="333" spans="1:11" ht="21" customHeight="1">
      <c r="A333" s="1013"/>
      <c r="B333" s="772"/>
      <c r="C333" s="671"/>
      <c r="D333" s="773"/>
      <c r="E333" s="774"/>
      <c r="F333" s="173"/>
      <c r="G333" s="672"/>
      <c r="H333" s="1013"/>
      <c r="I333" s="172" t="str">
        <f t="shared" si="14"/>
        <v xml:space="preserve"> </v>
      </c>
      <c r="J333" s="673" t="str">
        <f t="shared" si="15"/>
        <v xml:space="preserve"> </v>
      </c>
      <c r="K333" s="674" t="str">
        <f t="shared" si="16"/>
        <v xml:space="preserve"> </v>
      </c>
    </row>
    <row r="334" spans="1:11" ht="21" customHeight="1">
      <c r="A334" s="1013"/>
      <c r="B334" s="772"/>
      <c r="C334" s="671"/>
      <c r="D334" s="773"/>
      <c r="E334" s="774"/>
      <c r="F334" s="173"/>
      <c r="G334" s="672"/>
      <c r="H334" s="1013"/>
      <c r="I334" s="172" t="str">
        <f t="shared" si="14"/>
        <v xml:space="preserve"> </v>
      </c>
      <c r="J334" s="673" t="str">
        <f t="shared" si="15"/>
        <v xml:space="preserve"> </v>
      </c>
      <c r="K334" s="674" t="str">
        <f t="shared" si="16"/>
        <v xml:space="preserve"> </v>
      </c>
    </row>
    <row r="335" spans="1:11" ht="21" customHeight="1">
      <c r="A335" s="1013"/>
      <c r="B335" s="772"/>
      <c r="C335" s="671"/>
      <c r="D335" s="773"/>
      <c r="E335" s="774"/>
      <c r="F335" s="173"/>
      <c r="G335" s="672"/>
      <c r="H335" s="1013"/>
      <c r="I335" s="172" t="str">
        <f t="shared" si="14"/>
        <v xml:space="preserve"> </v>
      </c>
      <c r="J335" s="673" t="str">
        <f t="shared" si="15"/>
        <v xml:space="preserve"> </v>
      </c>
      <c r="K335" s="674" t="str">
        <f t="shared" si="16"/>
        <v xml:space="preserve"> </v>
      </c>
    </row>
    <row r="336" spans="1:11" ht="21" customHeight="1">
      <c r="A336" s="1013"/>
      <c r="B336" s="772"/>
      <c r="C336" s="671"/>
      <c r="D336" s="773"/>
      <c r="E336" s="774"/>
      <c r="F336" s="173"/>
      <c r="G336" s="672"/>
      <c r="H336" s="1013"/>
      <c r="I336" s="172" t="str">
        <f t="shared" si="14"/>
        <v xml:space="preserve"> </v>
      </c>
      <c r="J336" s="673" t="str">
        <f t="shared" si="15"/>
        <v xml:space="preserve"> </v>
      </c>
      <c r="K336" s="674" t="str">
        <f t="shared" si="16"/>
        <v xml:space="preserve"> </v>
      </c>
    </row>
    <row r="337" spans="1:11" ht="21" customHeight="1">
      <c r="A337" s="1013"/>
      <c r="B337" s="772"/>
      <c r="C337" s="671"/>
      <c r="D337" s="773"/>
      <c r="E337" s="774"/>
      <c r="F337" s="173"/>
      <c r="G337" s="672"/>
      <c r="H337" s="1013"/>
      <c r="I337" s="172" t="str">
        <f t="shared" si="14"/>
        <v xml:space="preserve"> </v>
      </c>
      <c r="J337" s="673" t="str">
        <f t="shared" si="15"/>
        <v xml:space="preserve"> </v>
      </c>
      <c r="K337" s="674" t="str">
        <f t="shared" si="16"/>
        <v xml:space="preserve"> </v>
      </c>
    </row>
    <row r="338" spans="1:11" ht="21" customHeight="1">
      <c r="A338" s="1013"/>
      <c r="B338" s="772"/>
      <c r="C338" s="671"/>
      <c r="D338" s="773"/>
      <c r="E338" s="774"/>
      <c r="F338" s="173"/>
      <c r="G338" s="672"/>
      <c r="H338" s="1013"/>
      <c r="I338" s="172" t="str">
        <f t="shared" si="14"/>
        <v xml:space="preserve"> </v>
      </c>
      <c r="J338" s="673" t="str">
        <f t="shared" si="15"/>
        <v xml:space="preserve"> </v>
      </c>
      <c r="K338" s="674" t="str">
        <f t="shared" si="16"/>
        <v xml:space="preserve"> </v>
      </c>
    </row>
    <row r="339" spans="1:11" ht="21" customHeight="1">
      <c r="A339" s="1013"/>
      <c r="B339" s="772"/>
      <c r="C339" s="671"/>
      <c r="D339" s="773"/>
      <c r="E339" s="774"/>
      <c r="F339" s="173"/>
      <c r="G339" s="672"/>
      <c r="H339" s="1013"/>
      <c r="I339" s="172" t="str">
        <f t="shared" si="14"/>
        <v xml:space="preserve"> </v>
      </c>
      <c r="J339" s="673" t="str">
        <f t="shared" si="15"/>
        <v xml:space="preserve"> </v>
      </c>
      <c r="K339" s="674" t="str">
        <f t="shared" si="16"/>
        <v xml:space="preserve"> </v>
      </c>
    </row>
    <row r="340" spans="1:11" ht="21" customHeight="1">
      <c r="A340" s="1013"/>
      <c r="B340" s="772"/>
      <c r="C340" s="671"/>
      <c r="D340" s="773"/>
      <c r="E340" s="774"/>
      <c r="F340" s="173"/>
      <c r="G340" s="672"/>
      <c r="H340" s="1013"/>
      <c r="I340" s="172" t="str">
        <f t="shared" si="14"/>
        <v xml:space="preserve"> </v>
      </c>
      <c r="J340" s="673" t="str">
        <f t="shared" si="15"/>
        <v xml:space="preserve"> </v>
      </c>
      <c r="K340" s="674" t="str">
        <f t="shared" si="16"/>
        <v xml:space="preserve"> </v>
      </c>
    </row>
    <row r="341" spans="1:11" ht="21" customHeight="1">
      <c r="A341" s="1013"/>
      <c r="B341" s="772"/>
      <c r="C341" s="671"/>
      <c r="D341" s="773"/>
      <c r="E341" s="774"/>
      <c r="F341" s="173"/>
      <c r="G341" s="672"/>
      <c r="H341" s="1013"/>
      <c r="I341" s="172" t="str">
        <f t="shared" si="14"/>
        <v xml:space="preserve"> </v>
      </c>
      <c r="J341" s="673" t="str">
        <f t="shared" si="15"/>
        <v xml:space="preserve"> </v>
      </c>
      <c r="K341" s="674" t="str">
        <f t="shared" si="16"/>
        <v xml:space="preserve"> </v>
      </c>
    </row>
    <row r="342" spans="1:11" ht="21" customHeight="1">
      <c r="A342" s="1013"/>
      <c r="B342" s="772"/>
      <c r="C342" s="671"/>
      <c r="D342" s="773"/>
      <c r="E342" s="774"/>
      <c r="F342" s="173"/>
      <c r="G342" s="672"/>
      <c r="H342" s="1013"/>
      <c r="I342" s="172" t="str">
        <f t="shared" si="14"/>
        <v xml:space="preserve"> </v>
      </c>
      <c r="J342" s="673" t="str">
        <f t="shared" si="15"/>
        <v xml:space="preserve"> </v>
      </c>
      <c r="K342" s="674" t="str">
        <f t="shared" si="16"/>
        <v xml:space="preserve"> </v>
      </c>
    </row>
    <row r="343" spans="1:11" ht="21" customHeight="1">
      <c r="A343" s="1013"/>
      <c r="B343" s="772"/>
      <c r="C343" s="671"/>
      <c r="D343" s="773"/>
      <c r="E343" s="774"/>
      <c r="F343" s="173"/>
      <c r="G343" s="672"/>
      <c r="H343" s="1013"/>
      <c r="I343" s="172" t="str">
        <f t="shared" si="14"/>
        <v xml:space="preserve"> </v>
      </c>
      <c r="J343" s="673" t="str">
        <f t="shared" si="15"/>
        <v xml:space="preserve"> </v>
      </c>
      <c r="K343" s="674" t="str">
        <f t="shared" si="16"/>
        <v xml:space="preserve"> </v>
      </c>
    </row>
    <row r="344" spans="1:11" ht="21" customHeight="1">
      <c r="A344" s="1013"/>
      <c r="B344" s="772"/>
      <c r="C344" s="671"/>
      <c r="D344" s="773"/>
      <c r="E344" s="774"/>
      <c r="F344" s="173"/>
      <c r="G344" s="672"/>
      <c r="H344" s="1013"/>
      <c r="I344" s="172" t="str">
        <f t="shared" si="14"/>
        <v xml:space="preserve"> </v>
      </c>
      <c r="J344" s="673" t="str">
        <f t="shared" si="15"/>
        <v xml:space="preserve"> </v>
      </c>
      <c r="K344" s="674" t="str">
        <f t="shared" si="16"/>
        <v xml:space="preserve"> </v>
      </c>
    </row>
    <row r="345" spans="1:11" ht="21" customHeight="1">
      <c r="A345" s="1013"/>
      <c r="B345" s="772"/>
      <c r="C345" s="671"/>
      <c r="D345" s="773"/>
      <c r="E345" s="774"/>
      <c r="F345" s="173"/>
      <c r="G345" s="672"/>
      <c r="H345" s="1013"/>
      <c r="I345" s="172" t="str">
        <f t="shared" si="14"/>
        <v xml:space="preserve"> </v>
      </c>
      <c r="J345" s="673" t="str">
        <f t="shared" si="15"/>
        <v xml:space="preserve"> </v>
      </c>
      <c r="K345" s="674" t="str">
        <f t="shared" si="16"/>
        <v xml:space="preserve"> </v>
      </c>
    </row>
    <row r="346" spans="1:11" ht="21" customHeight="1">
      <c r="A346" s="1013"/>
      <c r="B346" s="772"/>
      <c r="C346" s="671"/>
      <c r="D346" s="773"/>
      <c r="E346" s="774"/>
      <c r="F346" s="173"/>
      <c r="G346" s="672"/>
      <c r="H346" s="1013"/>
      <c r="I346" s="172" t="str">
        <f t="shared" si="14"/>
        <v xml:space="preserve"> </v>
      </c>
      <c r="J346" s="673" t="str">
        <f t="shared" si="15"/>
        <v xml:space="preserve"> </v>
      </c>
      <c r="K346" s="674" t="str">
        <f t="shared" si="16"/>
        <v xml:space="preserve"> </v>
      </c>
    </row>
    <row r="347" spans="1:11" ht="21" customHeight="1">
      <c r="A347" s="1013"/>
      <c r="B347" s="772"/>
      <c r="C347" s="671"/>
      <c r="D347" s="773"/>
      <c r="E347" s="774"/>
      <c r="F347" s="173"/>
      <c r="G347" s="672"/>
      <c r="H347" s="1013"/>
      <c r="I347" s="172" t="str">
        <f t="shared" si="14"/>
        <v xml:space="preserve"> </v>
      </c>
      <c r="J347" s="673" t="str">
        <f t="shared" si="15"/>
        <v xml:space="preserve"> </v>
      </c>
      <c r="K347" s="674" t="str">
        <f t="shared" si="16"/>
        <v xml:space="preserve"> </v>
      </c>
    </row>
    <row r="348" spans="1:11" ht="21" customHeight="1">
      <c r="A348" s="1013"/>
      <c r="B348" s="772"/>
      <c r="C348" s="671"/>
      <c r="D348" s="773"/>
      <c r="E348" s="774"/>
      <c r="F348" s="173"/>
      <c r="G348" s="672"/>
      <c r="H348" s="1013"/>
      <c r="I348" s="172" t="str">
        <f t="shared" si="14"/>
        <v xml:space="preserve"> </v>
      </c>
      <c r="J348" s="673" t="str">
        <f t="shared" si="15"/>
        <v xml:space="preserve"> </v>
      </c>
      <c r="K348" s="674" t="str">
        <f t="shared" si="16"/>
        <v xml:space="preserve"> </v>
      </c>
    </row>
    <row r="349" spans="1:11" ht="21" customHeight="1">
      <c r="A349" s="1013"/>
      <c r="B349" s="772"/>
      <c r="C349" s="671"/>
      <c r="D349" s="773"/>
      <c r="E349" s="774"/>
      <c r="F349" s="173"/>
      <c r="G349" s="672"/>
      <c r="H349" s="1013"/>
      <c r="I349" s="172" t="str">
        <f t="shared" si="14"/>
        <v xml:space="preserve"> </v>
      </c>
      <c r="J349" s="673" t="str">
        <f t="shared" si="15"/>
        <v xml:space="preserve"> </v>
      </c>
      <c r="K349" s="674" t="str">
        <f t="shared" si="16"/>
        <v xml:space="preserve"> </v>
      </c>
    </row>
    <row r="350" spans="1:11" ht="21" customHeight="1">
      <c r="A350" s="1013"/>
      <c r="B350" s="772"/>
      <c r="C350" s="671"/>
      <c r="D350" s="773"/>
      <c r="E350" s="774"/>
      <c r="F350" s="173"/>
      <c r="G350" s="672"/>
      <c r="H350" s="1013"/>
      <c r="I350" s="172" t="str">
        <f t="shared" si="14"/>
        <v xml:space="preserve"> </v>
      </c>
      <c r="J350" s="673" t="str">
        <f t="shared" si="15"/>
        <v xml:space="preserve"> </v>
      </c>
      <c r="K350" s="674" t="str">
        <f t="shared" si="16"/>
        <v xml:space="preserve"> </v>
      </c>
    </row>
    <row r="351" spans="1:11" ht="21" customHeight="1">
      <c r="A351" s="1013"/>
      <c r="B351" s="772"/>
      <c r="C351" s="671"/>
      <c r="D351" s="773"/>
      <c r="E351" s="774"/>
      <c r="F351" s="173"/>
      <c r="G351" s="672"/>
      <c r="H351" s="1013"/>
      <c r="I351" s="172" t="str">
        <f t="shared" ref="I351:I414" si="17">IF($D351="Заплыв №","РЕЗУЛЬТАТ"," ")</f>
        <v xml:space="preserve"> </v>
      </c>
      <c r="J351" s="673" t="str">
        <f t="shared" ref="J351:J414" si="18">IF($D351="Заплыв №","ФИНИШ"," ")</f>
        <v xml:space="preserve"> </v>
      </c>
      <c r="K351" s="674" t="str">
        <f t="shared" ref="K351:K414" si="19">IF($D351="Заплыв №","ПРИМ."," ")</f>
        <v xml:space="preserve"> </v>
      </c>
    </row>
    <row r="352" spans="1:11" ht="21" customHeight="1">
      <c r="A352" s="1013"/>
      <c r="B352" s="772"/>
      <c r="C352" s="671"/>
      <c r="D352" s="773"/>
      <c r="E352" s="774"/>
      <c r="F352" s="173"/>
      <c r="G352" s="672"/>
      <c r="H352" s="1013"/>
      <c r="I352" s="172" t="str">
        <f t="shared" si="17"/>
        <v xml:space="preserve"> </v>
      </c>
      <c r="J352" s="673" t="str">
        <f t="shared" si="18"/>
        <v xml:space="preserve"> </v>
      </c>
      <c r="K352" s="674" t="str">
        <f t="shared" si="19"/>
        <v xml:space="preserve"> </v>
      </c>
    </row>
    <row r="353" spans="1:11" ht="21" customHeight="1">
      <c r="A353" s="1013"/>
      <c r="B353" s="772"/>
      <c r="C353" s="671"/>
      <c r="D353" s="773"/>
      <c r="E353" s="774"/>
      <c r="F353" s="173"/>
      <c r="G353" s="672"/>
      <c r="H353" s="1013"/>
      <c r="I353" s="172" t="str">
        <f t="shared" si="17"/>
        <v xml:space="preserve"> </v>
      </c>
      <c r="J353" s="673" t="str">
        <f t="shared" si="18"/>
        <v xml:space="preserve"> </v>
      </c>
      <c r="K353" s="674" t="str">
        <f t="shared" si="19"/>
        <v xml:space="preserve"> </v>
      </c>
    </row>
    <row r="354" spans="1:11" ht="21" customHeight="1">
      <c r="A354" s="1013"/>
      <c r="B354" s="772"/>
      <c r="C354" s="671"/>
      <c r="D354" s="773"/>
      <c r="E354" s="774"/>
      <c r="F354" s="173"/>
      <c r="G354" s="672"/>
      <c r="H354" s="1013"/>
      <c r="I354" s="172" t="str">
        <f t="shared" si="17"/>
        <v xml:space="preserve"> </v>
      </c>
      <c r="J354" s="673" t="str">
        <f t="shared" si="18"/>
        <v xml:space="preserve"> </v>
      </c>
      <c r="K354" s="674" t="str">
        <f t="shared" si="19"/>
        <v xml:space="preserve"> </v>
      </c>
    </row>
    <row r="355" spans="1:11" ht="21" customHeight="1">
      <c r="A355" s="1013"/>
      <c r="B355" s="772"/>
      <c r="C355" s="671"/>
      <c r="D355" s="773"/>
      <c r="E355" s="774"/>
      <c r="F355" s="173"/>
      <c r="G355" s="672"/>
      <c r="H355" s="1013"/>
      <c r="I355" s="172" t="str">
        <f t="shared" si="17"/>
        <v xml:space="preserve"> </v>
      </c>
      <c r="J355" s="673" t="str">
        <f t="shared" si="18"/>
        <v xml:space="preserve"> </v>
      </c>
      <c r="K355" s="674" t="str">
        <f t="shared" si="19"/>
        <v xml:space="preserve"> </v>
      </c>
    </row>
    <row r="356" spans="1:11" ht="21" customHeight="1">
      <c r="A356" s="1013"/>
      <c r="B356" s="772"/>
      <c r="C356" s="671"/>
      <c r="D356" s="773"/>
      <c r="E356" s="774"/>
      <c r="F356" s="173"/>
      <c r="G356" s="672"/>
      <c r="H356" s="1013"/>
      <c r="I356" s="172" t="str">
        <f t="shared" si="17"/>
        <v xml:space="preserve"> </v>
      </c>
      <c r="J356" s="673" t="str">
        <f t="shared" si="18"/>
        <v xml:space="preserve"> </v>
      </c>
      <c r="K356" s="674" t="str">
        <f t="shared" si="19"/>
        <v xml:space="preserve"> </v>
      </c>
    </row>
    <row r="357" spans="1:11" ht="21" customHeight="1">
      <c r="A357" s="1013"/>
      <c r="B357" s="772"/>
      <c r="C357" s="671"/>
      <c r="D357" s="773"/>
      <c r="E357" s="774"/>
      <c r="F357" s="173"/>
      <c r="G357" s="672"/>
      <c r="H357" s="1013"/>
      <c r="I357" s="172" t="str">
        <f t="shared" si="17"/>
        <v xml:space="preserve"> </v>
      </c>
      <c r="J357" s="673" t="str">
        <f t="shared" si="18"/>
        <v xml:space="preserve"> </v>
      </c>
      <c r="K357" s="674" t="str">
        <f t="shared" si="19"/>
        <v xml:space="preserve"> </v>
      </c>
    </row>
    <row r="358" spans="1:11" ht="21" customHeight="1">
      <c r="A358" s="1013"/>
      <c r="B358" s="772"/>
      <c r="C358" s="671"/>
      <c r="D358" s="773"/>
      <c r="E358" s="774"/>
      <c r="F358" s="173"/>
      <c r="G358" s="672"/>
      <c r="H358" s="1013"/>
      <c r="I358" s="172" t="str">
        <f t="shared" si="17"/>
        <v xml:space="preserve"> </v>
      </c>
      <c r="J358" s="673" t="str">
        <f t="shared" si="18"/>
        <v xml:space="preserve"> </v>
      </c>
      <c r="K358" s="674" t="str">
        <f t="shared" si="19"/>
        <v xml:space="preserve"> </v>
      </c>
    </row>
    <row r="359" spans="1:11" ht="21" customHeight="1">
      <c r="A359" s="1013"/>
      <c r="B359" s="772"/>
      <c r="C359" s="671"/>
      <c r="D359" s="773"/>
      <c r="E359" s="774"/>
      <c r="F359" s="173"/>
      <c r="G359" s="672"/>
      <c r="H359" s="1013"/>
      <c r="I359" s="172" t="str">
        <f t="shared" si="17"/>
        <v xml:space="preserve"> </v>
      </c>
      <c r="J359" s="673" t="str">
        <f t="shared" si="18"/>
        <v xml:space="preserve"> </v>
      </c>
      <c r="K359" s="674" t="str">
        <f t="shared" si="19"/>
        <v xml:space="preserve"> </v>
      </c>
    </row>
    <row r="360" spans="1:11" ht="21" customHeight="1">
      <c r="A360" s="1013"/>
      <c r="B360" s="772"/>
      <c r="C360" s="671"/>
      <c r="D360" s="773"/>
      <c r="E360" s="774"/>
      <c r="F360" s="173"/>
      <c r="G360" s="672"/>
      <c r="H360" s="1013"/>
      <c r="I360" s="172" t="str">
        <f t="shared" si="17"/>
        <v xml:space="preserve"> </v>
      </c>
      <c r="J360" s="673" t="str">
        <f t="shared" si="18"/>
        <v xml:space="preserve"> </v>
      </c>
      <c r="K360" s="674" t="str">
        <f t="shared" si="19"/>
        <v xml:space="preserve"> </v>
      </c>
    </row>
    <row r="361" spans="1:11" ht="21" customHeight="1">
      <c r="A361" s="1013"/>
      <c r="B361" s="772"/>
      <c r="C361" s="671"/>
      <c r="D361" s="773"/>
      <c r="E361" s="774"/>
      <c r="F361" s="173"/>
      <c r="G361" s="672"/>
      <c r="H361" s="1013"/>
      <c r="I361" s="172" t="str">
        <f t="shared" si="17"/>
        <v xml:space="preserve"> </v>
      </c>
      <c r="J361" s="673" t="str">
        <f t="shared" si="18"/>
        <v xml:space="preserve"> </v>
      </c>
      <c r="K361" s="674" t="str">
        <f t="shared" si="19"/>
        <v xml:space="preserve"> </v>
      </c>
    </row>
    <row r="362" spans="1:11" ht="21" customHeight="1">
      <c r="A362" s="1013"/>
      <c r="B362" s="772"/>
      <c r="C362" s="671"/>
      <c r="D362" s="773"/>
      <c r="E362" s="774"/>
      <c r="F362" s="173"/>
      <c r="G362" s="672"/>
      <c r="H362" s="1013"/>
      <c r="I362" s="172" t="str">
        <f t="shared" si="17"/>
        <v xml:space="preserve"> </v>
      </c>
      <c r="J362" s="673" t="str">
        <f t="shared" si="18"/>
        <v xml:space="preserve"> </v>
      </c>
      <c r="K362" s="674" t="str">
        <f t="shared" si="19"/>
        <v xml:space="preserve"> </v>
      </c>
    </row>
    <row r="363" spans="1:11" ht="21" customHeight="1">
      <c r="A363" s="1013"/>
      <c r="B363" s="772"/>
      <c r="C363" s="671"/>
      <c r="D363" s="773"/>
      <c r="E363" s="774"/>
      <c r="F363" s="173"/>
      <c r="G363" s="672"/>
      <c r="H363" s="1013"/>
      <c r="I363" s="172" t="str">
        <f t="shared" si="17"/>
        <v xml:space="preserve"> </v>
      </c>
      <c r="J363" s="673" t="str">
        <f t="shared" si="18"/>
        <v xml:space="preserve"> </v>
      </c>
      <c r="K363" s="674" t="str">
        <f t="shared" si="19"/>
        <v xml:space="preserve"> </v>
      </c>
    </row>
    <row r="364" spans="1:11" ht="21" customHeight="1">
      <c r="A364" s="1013"/>
      <c r="B364" s="772"/>
      <c r="C364" s="671"/>
      <c r="D364" s="773"/>
      <c r="E364" s="774"/>
      <c r="F364" s="173"/>
      <c r="G364" s="672"/>
      <c r="H364" s="1013"/>
      <c r="I364" s="172" t="str">
        <f t="shared" si="17"/>
        <v xml:space="preserve"> </v>
      </c>
      <c r="J364" s="673" t="str">
        <f t="shared" si="18"/>
        <v xml:space="preserve"> </v>
      </c>
      <c r="K364" s="674" t="str">
        <f t="shared" si="19"/>
        <v xml:space="preserve"> </v>
      </c>
    </row>
    <row r="365" spans="1:11" ht="21" customHeight="1">
      <c r="A365" s="1013"/>
      <c r="B365" s="772"/>
      <c r="C365" s="671"/>
      <c r="D365" s="773"/>
      <c r="E365" s="774"/>
      <c r="F365" s="173"/>
      <c r="G365" s="672"/>
      <c r="H365" s="1013"/>
      <c r="I365" s="172" t="str">
        <f t="shared" si="17"/>
        <v xml:space="preserve"> </v>
      </c>
      <c r="J365" s="673" t="str">
        <f t="shared" si="18"/>
        <v xml:space="preserve"> </v>
      </c>
      <c r="K365" s="674" t="str">
        <f t="shared" si="19"/>
        <v xml:space="preserve"> </v>
      </c>
    </row>
    <row r="366" spans="1:11" ht="21" customHeight="1">
      <c r="A366" s="1013"/>
      <c r="B366" s="772"/>
      <c r="C366" s="671"/>
      <c r="D366" s="773"/>
      <c r="E366" s="774"/>
      <c r="F366" s="173"/>
      <c r="G366" s="672"/>
      <c r="H366" s="1013"/>
      <c r="I366" s="172" t="str">
        <f t="shared" si="17"/>
        <v xml:space="preserve"> </v>
      </c>
      <c r="J366" s="673" t="str">
        <f t="shared" si="18"/>
        <v xml:space="preserve"> </v>
      </c>
      <c r="K366" s="674" t="str">
        <f t="shared" si="19"/>
        <v xml:space="preserve"> </v>
      </c>
    </row>
    <row r="367" spans="1:11" ht="21" customHeight="1">
      <c r="A367" s="1013"/>
      <c r="B367" s="772"/>
      <c r="C367" s="671"/>
      <c r="D367" s="773"/>
      <c r="E367" s="774"/>
      <c r="F367" s="173"/>
      <c r="G367" s="672"/>
      <c r="H367" s="1013"/>
      <c r="I367" s="172" t="str">
        <f t="shared" si="17"/>
        <v xml:space="preserve"> </v>
      </c>
      <c r="J367" s="673" t="str">
        <f t="shared" si="18"/>
        <v xml:space="preserve"> </v>
      </c>
      <c r="K367" s="674" t="str">
        <f t="shared" si="19"/>
        <v xml:space="preserve"> </v>
      </c>
    </row>
    <row r="368" spans="1:11" ht="21" customHeight="1">
      <c r="A368" s="1013"/>
      <c r="B368" s="772"/>
      <c r="C368" s="671"/>
      <c r="D368" s="773"/>
      <c r="E368" s="774"/>
      <c r="F368" s="173"/>
      <c r="G368" s="672"/>
      <c r="H368" s="1013"/>
      <c r="I368" s="172" t="str">
        <f t="shared" si="17"/>
        <v xml:space="preserve"> </v>
      </c>
      <c r="J368" s="673" t="str">
        <f t="shared" si="18"/>
        <v xml:space="preserve"> </v>
      </c>
      <c r="K368" s="674" t="str">
        <f t="shared" si="19"/>
        <v xml:space="preserve"> </v>
      </c>
    </row>
    <row r="369" spans="1:11" ht="21" customHeight="1">
      <c r="A369" s="1013"/>
      <c r="B369" s="772"/>
      <c r="C369" s="671"/>
      <c r="D369" s="773"/>
      <c r="E369" s="774"/>
      <c r="F369" s="173"/>
      <c r="G369" s="672"/>
      <c r="H369" s="1013"/>
      <c r="I369" s="172" t="str">
        <f t="shared" si="17"/>
        <v xml:space="preserve"> </v>
      </c>
      <c r="J369" s="673" t="str">
        <f t="shared" si="18"/>
        <v xml:space="preserve"> </v>
      </c>
      <c r="K369" s="674" t="str">
        <f t="shared" si="19"/>
        <v xml:space="preserve"> </v>
      </c>
    </row>
    <row r="370" spans="1:11" ht="21" customHeight="1">
      <c r="A370" s="1013"/>
      <c r="B370" s="772"/>
      <c r="C370" s="671"/>
      <c r="D370" s="773"/>
      <c r="E370" s="774"/>
      <c r="F370" s="173"/>
      <c r="G370" s="672"/>
      <c r="H370" s="1013"/>
      <c r="I370" s="172" t="str">
        <f t="shared" si="17"/>
        <v xml:space="preserve"> </v>
      </c>
      <c r="J370" s="673" t="str">
        <f t="shared" si="18"/>
        <v xml:space="preserve"> </v>
      </c>
      <c r="K370" s="674" t="str">
        <f t="shared" si="19"/>
        <v xml:space="preserve"> </v>
      </c>
    </row>
    <row r="371" spans="1:11" ht="21" customHeight="1">
      <c r="A371" s="1013"/>
      <c r="B371" s="772"/>
      <c r="C371" s="671"/>
      <c r="D371" s="773"/>
      <c r="E371" s="774"/>
      <c r="F371" s="173"/>
      <c r="G371" s="672"/>
      <c r="H371" s="1013"/>
      <c r="I371" s="172" t="str">
        <f t="shared" si="17"/>
        <v xml:space="preserve"> </v>
      </c>
      <c r="J371" s="673" t="str">
        <f t="shared" si="18"/>
        <v xml:space="preserve"> </v>
      </c>
      <c r="K371" s="674" t="str">
        <f t="shared" si="19"/>
        <v xml:space="preserve"> </v>
      </c>
    </row>
    <row r="372" spans="1:11" ht="21" customHeight="1">
      <c r="A372" s="1013"/>
      <c r="B372" s="772"/>
      <c r="C372" s="671"/>
      <c r="D372" s="773"/>
      <c r="E372" s="774"/>
      <c r="F372" s="173"/>
      <c r="G372" s="672"/>
      <c r="H372" s="1013"/>
      <c r="I372" s="172" t="str">
        <f t="shared" si="17"/>
        <v xml:space="preserve"> </v>
      </c>
      <c r="J372" s="673" t="str">
        <f t="shared" si="18"/>
        <v xml:space="preserve"> </v>
      </c>
      <c r="K372" s="674" t="str">
        <f t="shared" si="19"/>
        <v xml:space="preserve"> </v>
      </c>
    </row>
    <row r="373" spans="1:11" ht="21" customHeight="1">
      <c r="A373" s="1013"/>
      <c r="B373" s="772"/>
      <c r="C373" s="671"/>
      <c r="D373" s="773"/>
      <c r="E373" s="774"/>
      <c r="F373" s="173"/>
      <c r="G373" s="672"/>
      <c r="H373" s="1013"/>
      <c r="I373" s="172" t="str">
        <f t="shared" si="17"/>
        <v xml:space="preserve"> </v>
      </c>
      <c r="J373" s="673" t="str">
        <f t="shared" si="18"/>
        <v xml:space="preserve"> </v>
      </c>
      <c r="K373" s="674" t="str">
        <f t="shared" si="19"/>
        <v xml:space="preserve"> </v>
      </c>
    </row>
    <row r="374" spans="1:11" ht="21" customHeight="1">
      <c r="A374" s="1013"/>
      <c r="B374" s="772"/>
      <c r="C374" s="671"/>
      <c r="D374" s="773"/>
      <c r="E374" s="774"/>
      <c r="F374" s="173"/>
      <c r="G374" s="672"/>
      <c r="H374" s="1013"/>
      <c r="I374" s="172" t="str">
        <f t="shared" si="17"/>
        <v xml:space="preserve"> </v>
      </c>
      <c r="J374" s="673" t="str">
        <f t="shared" si="18"/>
        <v xml:space="preserve"> </v>
      </c>
      <c r="K374" s="674" t="str">
        <f t="shared" si="19"/>
        <v xml:space="preserve"> </v>
      </c>
    </row>
    <row r="375" spans="1:11" ht="21" customHeight="1">
      <c r="A375" s="1013"/>
      <c r="B375" s="772"/>
      <c r="C375" s="671"/>
      <c r="D375" s="773"/>
      <c r="E375" s="774"/>
      <c r="F375" s="173"/>
      <c r="G375" s="672"/>
      <c r="H375" s="1013"/>
      <c r="I375" s="172" t="str">
        <f t="shared" si="17"/>
        <v xml:space="preserve"> </v>
      </c>
      <c r="J375" s="673" t="str">
        <f t="shared" si="18"/>
        <v xml:space="preserve"> </v>
      </c>
      <c r="K375" s="674" t="str">
        <f t="shared" si="19"/>
        <v xml:space="preserve"> </v>
      </c>
    </row>
    <row r="376" spans="1:11" ht="21" customHeight="1">
      <c r="A376" s="1013"/>
      <c r="B376" s="772"/>
      <c r="C376" s="671"/>
      <c r="D376" s="773"/>
      <c r="E376" s="774"/>
      <c r="F376" s="173"/>
      <c r="G376" s="672"/>
      <c r="H376" s="1013"/>
      <c r="I376" s="172" t="str">
        <f t="shared" si="17"/>
        <v xml:space="preserve"> </v>
      </c>
      <c r="J376" s="673" t="str">
        <f t="shared" si="18"/>
        <v xml:space="preserve"> </v>
      </c>
      <c r="K376" s="674" t="str">
        <f t="shared" si="19"/>
        <v xml:space="preserve"> </v>
      </c>
    </row>
    <row r="377" spans="1:11" ht="21" customHeight="1">
      <c r="A377" s="1013"/>
      <c r="B377" s="772"/>
      <c r="C377" s="671"/>
      <c r="D377" s="773"/>
      <c r="E377" s="774"/>
      <c r="F377" s="173"/>
      <c r="G377" s="672"/>
      <c r="H377" s="1013"/>
      <c r="I377" s="172" t="str">
        <f t="shared" si="17"/>
        <v xml:space="preserve"> </v>
      </c>
      <c r="J377" s="673" t="str">
        <f t="shared" si="18"/>
        <v xml:space="preserve"> </v>
      </c>
      <c r="K377" s="674" t="str">
        <f t="shared" si="19"/>
        <v xml:space="preserve"> </v>
      </c>
    </row>
    <row r="378" spans="1:11" ht="21" customHeight="1">
      <c r="A378" s="1013"/>
      <c r="B378" s="772"/>
      <c r="C378" s="671"/>
      <c r="D378" s="773"/>
      <c r="E378" s="774"/>
      <c r="F378" s="173"/>
      <c r="G378" s="672"/>
      <c r="H378" s="1013"/>
      <c r="I378" s="172" t="str">
        <f t="shared" si="17"/>
        <v xml:space="preserve"> </v>
      </c>
      <c r="J378" s="673" t="str">
        <f t="shared" si="18"/>
        <v xml:space="preserve"> </v>
      </c>
      <c r="K378" s="674" t="str">
        <f t="shared" si="19"/>
        <v xml:space="preserve"> </v>
      </c>
    </row>
    <row r="379" spans="1:11" ht="21" customHeight="1">
      <c r="A379" s="1013"/>
      <c r="B379" s="772"/>
      <c r="C379" s="671"/>
      <c r="D379" s="773"/>
      <c r="E379" s="774"/>
      <c r="F379" s="173"/>
      <c r="G379" s="672"/>
      <c r="H379" s="1013"/>
      <c r="I379" s="172" t="str">
        <f t="shared" si="17"/>
        <v xml:space="preserve"> </v>
      </c>
      <c r="J379" s="673" t="str">
        <f t="shared" si="18"/>
        <v xml:space="preserve"> </v>
      </c>
      <c r="K379" s="674" t="str">
        <f t="shared" si="19"/>
        <v xml:space="preserve"> </v>
      </c>
    </row>
    <row r="380" spans="1:11" ht="21" customHeight="1">
      <c r="A380" s="1013"/>
      <c r="B380" s="772"/>
      <c r="C380" s="671"/>
      <c r="D380" s="773"/>
      <c r="E380" s="774"/>
      <c r="F380" s="173"/>
      <c r="G380" s="672"/>
      <c r="H380" s="1013"/>
      <c r="I380" s="172" t="str">
        <f t="shared" si="17"/>
        <v xml:space="preserve"> </v>
      </c>
      <c r="J380" s="673" t="str">
        <f t="shared" si="18"/>
        <v xml:space="preserve"> </v>
      </c>
      <c r="K380" s="674" t="str">
        <f t="shared" si="19"/>
        <v xml:space="preserve"> </v>
      </c>
    </row>
    <row r="381" spans="1:11" ht="21" customHeight="1">
      <c r="A381" s="1013"/>
      <c r="B381" s="772"/>
      <c r="C381" s="671"/>
      <c r="D381" s="773"/>
      <c r="E381" s="774"/>
      <c r="F381" s="173"/>
      <c r="G381" s="672"/>
      <c r="H381" s="1013"/>
      <c r="I381" s="172" t="str">
        <f t="shared" si="17"/>
        <v xml:space="preserve"> </v>
      </c>
      <c r="J381" s="673" t="str">
        <f t="shared" si="18"/>
        <v xml:space="preserve"> </v>
      </c>
      <c r="K381" s="674" t="str">
        <f t="shared" si="19"/>
        <v xml:space="preserve"> </v>
      </c>
    </row>
    <row r="382" spans="1:11" ht="21" customHeight="1">
      <c r="A382" s="1013"/>
      <c r="B382" s="772"/>
      <c r="C382" s="671"/>
      <c r="D382" s="773"/>
      <c r="E382" s="774"/>
      <c r="F382" s="173"/>
      <c r="G382" s="672"/>
      <c r="H382" s="1013"/>
      <c r="I382" s="172" t="str">
        <f t="shared" si="17"/>
        <v xml:space="preserve"> </v>
      </c>
      <c r="J382" s="673" t="str">
        <f t="shared" si="18"/>
        <v xml:space="preserve"> </v>
      </c>
      <c r="K382" s="674" t="str">
        <f t="shared" si="19"/>
        <v xml:space="preserve"> </v>
      </c>
    </row>
    <row r="383" spans="1:11" ht="21" customHeight="1">
      <c r="A383" s="1013"/>
      <c r="B383" s="772"/>
      <c r="C383" s="671"/>
      <c r="D383" s="773"/>
      <c r="E383" s="774"/>
      <c r="F383" s="173"/>
      <c r="G383" s="672"/>
      <c r="H383" s="1013"/>
      <c r="I383" s="172" t="str">
        <f t="shared" si="17"/>
        <v xml:space="preserve"> </v>
      </c>
      <c r="J383" s="673" t="str">
        <f t="shared" si="18"/>
        <v xml:space="preserve"> </v>
      </c>
      <c r="K383" s="674" t="str">
        <f t="shared" si="19"/>
        <v xml:space="preserve"> </v>
      </c>
    </row>
    <row r="384" spans="1:11" ht="21" customHeight="1">
      <c r="A384" s="1013"/>
      <c r="B384" s="772"/>
      <c r="C384" s="671"/>
      <c r="D384" s="773"/>
      <c r="E384" s="774"/>
      <c r="F384" s="173"/>
      <c r="G384" s="672"/>
      <c r="H384" s="1013"/>
      <c r="I384" s="172" t="str">
        <f t="shared" si="17"/>
        <v xml:space="preserve"> </v>
      </c>
      <c r="J384" s="673" t="str">
        <f t="shared" si="18"/>
        <v xml:space="preserve"> </v>
      </c>
      <c r="K384" s="674" t="str">
        <f t="shared" si="19"/>
        <v xml:space="preserve"> </v>
      </c>
    </row>
    <row r="385" spans="1:11" ht="21" customHeight="1">
      <c r="A385" s="1013"/>
      <c r="B385" s="772"/>
      <c r="C385" s="671"/>
      <c r="D385" s="773"/>
      <c r="E385" s="774"/>
      <c r="F385" s="173"/>
      <c r="G385" s="672"/>
      <c r="H385" s="1013"/>
      <c r="I385" s="172" t="str">
        <f t="shared" si="17"/>
        <v xml:space="preserve"> </v>
      </c>
      <c r="J385" s="673" t="str">
        <f t="shared" si="18"/>
        <v xml:space="preserve"> </v>
      </c>
      <c r="K385" s="674" t="str">
        <f t="shared" si="19"/>
        <v xml:space="preserve"> </v>
      </c>
    </row>
    <row r="386" spans="1:11" ht="21" customHeight="1">
      <c r="A386" s="1013"/>
      <c r="B386" s="772"/>
      <c r="C386" s="671"/>
      <c r="D386" s="773"/>
      <c r="E386" s="774"/>
      <c r="F386" s="173"/>
      <c r="G386" s="672"/>
      <c r="H386" s="1013"/>
      <c r="I386" s="172" t="str">
        <f t="shared" si="17"/>
        <v xml:space="preserve"> </v>
      </c>
      <c r="J386" s="673" t="str">
        <f t="shared" si="18"/>
        <v xml:space="preserve"> </v>
      </c>
      <c r="K386" s="674" t="str">
        <f t="shared" si="19"/>
        <v xml:space="preserve"> </v>
      </c>
    </row>
    <row r="387" spans="1:11" ht="21" customHeight="1">
      <c r="A387" s="1013"/>
      <c r="B387" s="772"/>
      <c r="C387" s="671"/>
      <c r="D387" s="773"/>
      <c r="E387" s="774"/>
      <c r="F387" s="173"/>
      <c r="G387" s="672"/>
      <c r="H387" s="1013"/>
      <c r="I387" s="172" t="str">
        <f t="shared" si="17"/>
        <v xml:space="preserve"> </v>
      </c>
      <c r="J387" s="673" t="str">
        <f t="shared" si="18"/>
        <v xml:space="preserve"> </v>
      </c>
      <c r="K387" s="674" t="str">
        <f t="shared" si="19"/>
        <v xml:space="preserve"> </v>
      </c>
    </row>
    <row r="388" spans="1:11" ht="21" customHeight="1">
      <c r="A388" s="1013"/>
      <c r="B388" s="772"/>
      <c r="C388" s="671"/>
      <c r="D388" s="773"/>
      <c r="E388" s="774"/>
      <c r="F388" s="173"/>
      <c r="G388" s="672"/>
      <c r="H388" s="1013"/>
      <c r="I388" s="172" t="str">
        <f t="shared" si="17"/>
        <v xml:space="preserve"> </v>
      </c>
      <c r="J388" s="673" t="str">
        <f t="shared" si="18"/>
        <v xml:space="preserve"> </v>
      </c>
      <c r="K388" s="674" t="str">
        <f t="shared" si="19"/>
        <v xml:space="preserve"> </v>
      </c>
    </row>
    <row r="389" spans="1:11" ht="21" customHeight="1">
      <c r="A389" s="1013"/>
      <c r="B389" s="772"/>
      <c r="C389" s="671"/>
      <c r="D389" s="773"/>
      <c r="E389" s="774"/>
      <c r="F389" s="173"/>
      <c r="G389" s="672"/>
      <c r="H389" s="1011" t="str">
        <f t="shared" ref="H389:H437" si="20">IF(ISBLANK(A389)," ",A389)</f>
        <v xml:space="preserve"> </v>
      </c>
      <c r="I389" s="172" t="str">
        <f t="shared" si="17"/>
        <v xml:space="preserve"> </v>
      </c>
      <c r="J389" s="673" t="str">
        <f t="shared" si="18"/>
        <v xml:space="preserve"> </v>
      </c>
      <c r="K389" s="674" t="str">
        <f t="shared" si="19"/>
        <v xml:space="preserve"> </v>
      </c>
    </row>
    <row r="390" spans="1:11" ht="21" customHeight="1">
      <c r="A390" s="1013"/>
      <c r="B390" s="772"/>
      <c r="C390" s="671"/>
      <c r="D390" s="773"/>
      <c r="E390" s="774"/>
      <c r="F390" s="173"/>
      <c r="G390" s="672"/>
      <c r="H390" s="1011" t="str">
        <f t="shared" si="20"/>
        <v xml:space="preserve"> </v>
      </c>
      <c r="I390" s="172" t="str">
        <f t="shared" si="17"/>
        <v xml:space="preserve"> </v>
      </c>
      <c r="J390" s="673" t="str">
        <f t="shared" si="18"/>
        <v xml:space="preserve"> </v>
      </c>
      <c r="K390" s="674" t="str">
        <f t="shared" si="19"/>
        <v xml:space="preserve"> </v>
      </c>
    </row>
    <row r="391" spans="1:11" ht="21" customHeight="1">
      <c r="A391" s="1013"/>
      <c r="B391" s="772"/>
      <c r="C391" s="671"/>
      <c r="D391" s="773"/>
      <c r="E391" s="774"/>
      <c r="F391" s="173"/>
      <c r="G391" s="672"/>
      <c r="H391" s="1011" t="str">
        <f t="shared" si="20"/>
        <v xml:space="preserve"> </v>
      </c>
      <c r="I391" s="172" t="str">
        <f t="shared" si="17"/>
        <v xml:space="preserve"> </v>
      </c>
      <c r="J391" s="673" t="str">
        <f t="shared" si="18"/>
        <v xml:space="preserve"> </v>
      </c>
      <c r="K391" s="674" t="str">
        <f t="shared" si="19"/>
        <v xml:space="preserve"> </v>
      </c>
    </row>
    <row r="392" spans="1:11" ht="21" customHeight="1">
      <c r="A392" s="1013"/>
      <c r="B392" s="772"/>
      <c r="C392" s="671"/>
      <c r="D392" s="773"/>
      <c r="E392" s="774"/>
      <c r="F392" s="173"/>
      <c r="G392" s="672"/>
      <c r="H392" s="1011" t="str">
        <f t="shared" si="20"/>
        <v xml:space="preserve"> </v>
      </c>
      <c r="I392" s="172" t="str">
        <f t="shared" si="17"/>
        <v xml:space="preserve"> </v>
      </c>
      <c r="J392" s="673" t="str">
        <f t="shared" si="18"/>
        <v xml:space="preserve"> </v>
      </c>
      <c r="K392" s="674" t="str">
        <f t="shared" si="19"/>
        <v xml:space="preserve"> </v>
      </c>
    </row>
    <row r="393" spans="1:11" ht="21" customHeight="1">
      <c r="A393" s="1013"/>
      <c r="B393" s="772"/>
      <c r="C393" s="671"/>
      <c r="D393" s="773"/>
      <c r="E393" s="774"/>
      <c r="F393" s="173"/>
      <c r="G393" s="672"/>
      <c r="H393" s="1011" t="str">
        <f t="shared" si="20"/>
        <v xml:space="preserve"> </v>
      </c>
      <c r="I393" s="172" t="str">
        <f t="shared" si="17"/>
        <v xml:space="preserve"> </v>
      </c>
      <c r="J393" s="673" t="str">
        <f t="shared" si="18"/>
        <v xml:space="preserve"> </v>
      </c>
      <c r="K393" s="674" t="str">
        <f t="shared" si="19"/>
        <v xml:space="preserve"> </v>
      </c>
    </row>
    <row r="394" spans="1:11" ht="21" customHeight="1">
      <c r="A394" s="1013"/>
      <c r="B394" s="772"/>
      <c r="C394" s="671"/>
      <c r="D394" s="773"/>
      <c r="E394" s="774"/>
      <c r="F394" s="173"/>
      <c r="G394" s="672"/>
      <c r="H394" s="1011" t="str">
        <f t="shared" si="20"/>
        <v xml:space="preserve"> </v>
      </c>
      <c r="I394" s="172" t="str">
        <f t="shared" si="17"/>
        <v xml:space="preserve"> </v>
      </c>
      <c r="J394" s="673" t="str">
        <f t="shared" si="18"/>
        <v xml:space="preserve"> </v>
      </c>
      <c r="K394" s="674" t="str">
        <f t="shared" si="19"/>
        <v xml:space="preserve"> </v>
      </c>
    </row>
    <row r="395" spans="1:11" ht="21" customHeight="1">
      <c r="A395" s="1013"/>
      <c r="B395" s="772"/>
      <c r="C395" s="671"/>
      <c r="D395" s="773"/>
      <c r="E395" s="774"/>
      <c r="F395" s="173"/>
      <c r="G395" s="672"/>
      <c r="H395" s="1011" t="str">
        <f t="shared" si="20"/>
        <v xml:space="preserve"> </v>
      </c>
      <c r="I395" s="172" t="str">
        <f t="shared" si="17"/>
        <v xml:space="preserve"> </v>
      </c>
      <c r="J395" s="673" t="str">
        <f t="shared" si="18"/>
        <v xml:space="preserve"> </v>
      </c>
      <c r="K395" s="674" t="str">
        <f t="shared" si="19"/>
        <v xml:space="preserve"> </v>
      </c>
    </row>
    <row r="396" spans="1:11" ht="21" customHeight="1">
      <c r="A396" s="1013"/>
      <c r="B396" s="772"/>
      <c r="C396" s="671"/>
      <c r="D396" s="773"/>
      <c r="E396" s="774"/>
      <c r="F396" s="173"/>
      <c r="G396" s="672"/>
      <c r="H396" s="1011" t="str">
        <f t="shared" si="20"/>
        <v xml:space="preserve"> </v>
      </c>
      <c r="I396" s="172" t="str">
        <f t="shared" si="17"/>
        <v xml:space="preserve"> </v>
      </c>
      <c r="J396" s="673" t="str">
        <f t="shared" si="18"/>
        <v xml:space="preserve"> </v>
      </c>
      <c r="K396" s="674" t="str">
        <f t="shared" si="19"/>
        <v xml:space="preserve"> </v>
      </c>
    </row>
    <row r="397" spans="1:11" ht="21" customHeight="1">
      <c r="A397" s="1013"/>
      <c r="B397" s="772"/>
      <c r="C397" s="671"/>
      <c r="D397" s="773"/>
      <c r="E397" s="774"/>
      <c r="F397" s="173"/>
      <c r="G397" s="672"/>
      <c r="H397" s="1011" t="str">
        <f t="shared" si="20"/>
        <v xml:space="preserve"> </v>
      </c>
      <c r="I397" s="172" t="str">
        <f t="shared" si="17"/>
        <v xml:space="preserve"> </v>
      </c>
      <c r="J397" s="673" t="str">
        <f t="shared" si="18"/>
        <v xml:space="preserve"> </v>
      </c>
      <c r="K397" s="674" t="str">
        <f t="shared" si="19"/>
        <v xml:space="preserve"> </v>
      </c>
    </row>
    <row r="398" spans="1:11" ht="21" customHeight="1">
      <c r="A398" s="1013"/>
      <c r="B398" s="772"/>
      <c r="C398" s="671"/>
      <c r="D398" s="773"/>
      <c r="E398" s="774"/>
      <c r="F398" s="173"/>
      <c r="G398" s="672"/>
      <c r="H398" s="1011" t="str">
        <f t="shared" si="20"/>
        <v xml:space="preserve"> </v>
      </c>
      <c r="I398" s="172" t="str">
        <f t="shared" si="17"/>
        <v xml:space="preserve"> </v>
      </c>
      <c r="J398" s="673" t="str">
        <f t="shared" si="18"/>
        <v xml:space="preserve"> </v>
      </c>
      <c r="K398" s="674" t="str">
        <f t="shared" si="19"/>
        <v xml:space="preserve"> </v>
      </c>
    </row>
    <row r="399" spans="1:11" ht="21" customHeight="1">
      <c r="A399" s="1013"/>
      <c r="B399" s="772"/>
      <c r="C399" s="671"/>
      <c r="D399" s="773"/>
      <c r="E399" s="774"/>
      <c r="F399" s="173"/>
      <c r="G399" s="672"/>
      <c r="H399" s="1011" t="str">
        <f t="shared" si="20"/>
        <v xml:space="preserve"> </v>
      </c>
      <c r="I399" s="172" t="str">
        <f t="shared" si="17"/>
        <v xml:space="preserve"> </v>
      </c>
      <c r="J399" s="673" t="str">
        <f t="shared" si="18"/>
        <v xml:space="preserve"> </v>
      </c>
      <c r="K399" s="674" t="str">
        <f t="shared" si="19"/>
        <v xml:space="preserve"> </v>
      </c>
    </row>
    <row r="400" spans="1:11" ht="21" customHeight="1">
      <c r="A400" s="1013"/>
      <c r="B400" s="772"/>
      <c r="C400" s="671"/>
      <c r="D400" s="773"/>
      <c r="E400" s="774"/>
      <c r="F400" s="173"/>
      <c r="G400" s="672"/>
      <c r="H400" s="1011" t="str">
        <f t="shared" si="20"/>
        <v xml:space="preserve"> </v>
      </c>
      <c r="I400" s="172" t="str">
        <f t="shared" si="17"/>
        <v xml:space="preserve"> </v>
      </c>
      <c r="J400" s="673" t="str">
        <f t="shared" si="18"/>
        <v xml:space="preserve"> </v>
      </c>
      <c r="K400" s="674" t="str">
        <f t="shared" si="19"/>
        <v xml:space="preserve"> </v>
      </c>
    </row>
    <row r="401" spans="1:11" ht="21" customHeight="1">
      <c r="A401" s="1013"/>
      <c r="B401" s="772"/>
      <c r="C401" s="671"/>
      <c r="D401" s="773"/>
      <c r="E401" s="774"/>
      <c r="F401" s="173"/>
      <c r="G401" s="672"/>
      <c r="H401" s="1011" t="str">
        <f t="shared" si="20"/>
        <v xml:space="preserve"> </v>
      </c>
      <c r="I401" s="172" t="str">
        <f t="shared" si="17"/>
        <v xml:space="preserve"> </v>
      </c>
      <c r="J401" s="673" t="str">
        <f t="shared" si="18"/>
        <v xml:space="preserve"> </v>
      </c>
      <c r="K401" s="674" t="str">
        <f t="shared" si="19"/>
        <v xml:space="preserve"> </v>
      </c>
    </row>
    <row r="402" spans="1:11" ht="21" customHeight="1">
      <c r="A402" s="1013"/>
      <c r="B402" s="772"/>
      <c r="C402" s="671"/>
      <c r="D402" s="773"/>
      <c r="E402" s="774"/>
      <c r="F402" s="173"/>
      <c r="G402" s="672"/>
      <c r="H402" s="1011" t="str">
        <f t="shared" si="20"/>
        <v xml:space="preserve"> </v>
      </c>
      <c r="I402" s="172" t="str">
        <f t="shared" si="17"/>
        <v xml:space="preserve"> </v>
      </c>
      <c r="J402" s="673" t="str">
        <f t="shared" si="18"/>
        <v xml:space="preserve"> </v>
      </c>
      <c r="K402" s="674" t="str">
        <f t="shared" si="19"/>
        <v xml:space="preserve"> </v>
      </c>
    </row>
    <row r="403" spans="1:11" ht="21" customHeight="1">
      <c r="A403" s="1013"/>
      <c r="B403" s="772"/>
      <c r="C403" s="671"/>
      <c r="D403" s="773"/>
      <c r="E403" s="774"/>
      <c r="F403" s="173"/>
      <c r="G403" s="672"/>
      <c r="H403" s="1011" t="str">
        <f t="shared" si="20"/>
        <v xml:space="preserve"> </v>
      </c>
      <c r="I403" s="172" t="str">
        <f t="shared" si="17"/>
        <v xml:space="preserve"> </v>
      </c>
      <c r="J403" s="673" t="str">
        <f t="shared" si="18"/>
        <v xml:space="preserve"> </v>
      </c>
      <c r="K403" s="674" t="str">
        <f t="shared" si="19"/>
        <v xml:space="preserve"> </v>
      </c>
    </row>
    <row r="404" spans="1:11" ht="21" customHeight="1">
      <c r="A404" s="1013"/>
      <c r="B404" s="772"/>
      <c r="C404" s="671"/>
      <c r="D404" s="773"/>
      <c r="E404" s="774"/>
      <c r="F404" s="173"/>
      <c r="G404" s="672"/>
      <c r="H404" s="1011" t="str">
        <f t="shared" si="20"/>
        <v xml:space="preserve"> </v>
      </c>
      <c r="I404" s="172" t="str">
        <f t="shared" si="17"/>
        <v xml:space="preserve"> </v>
      </c>
      <c r="J404" s="673" t="str">
        <f t="shared" si="18"/>
        <v xml:space="preserve"> </v>
      </c>
      <c r="K404" s="674" t="str">
        <f t="shared" si="19"/>
        <v xml:space="preserve"> </v>
      </c>
    </row>
    <row r="405" spans="1:11" ht="21" customHeight="1">
      <c r="A405" s="1013"/>
      <c r="B405" s="772"/>
      <c r="C405" s="671"/>
      <c r="D405" s="773"/>
      <c r="E405" s="774"/>
      <c r="F405" s="173"/>
      <c r="G405" s="672"/>
      <c r="H405" s="1011" t="str">
        <f t="shared" si="20"/>
        <v xml:space="preserve"> </v>
      </c>
      <c r="I405" s="172" t="str">
        <f t="shared" si="17"/>
        <v xml:space="preserve"> </v>
      </c>
      <c r="J405" s="673" t="str">
        <f t="shared" si="18"/>
        <v xml:space="preserve"> </v>
      </c>
      <c r="K405" s="674" t="str">
        <f t="shared" si="19"/>
        <v xml:space="preserve"> </v>
      </c>
    </row>
    <row r="406" spans="1:11" ht="21" customHeight="1">
      <c r="A406" s="1013"/>
      <c r="B406" s="772"/>
      <c r="C406" s="671"/>
      <c r="D406" s="773"/>
      <c r="E406" s="774"/>
      <c r="F406" s="173"/>
      <c r="G406" s="672"/>
      <c r="H406" s="1011" t="str">
        <f t="shared" si="20"/>
        <v xml:space="preserve"> </v>
      </c>
      <c r="I406" s="172" t="str">
        <f t="shared" si="17"/>
        <v xml:space="preserve"> </v>
      </c>
      <c r="J406" s="673" t="str">
        <f t="shared" si="18"/>
        <v xml:space="preserve"> </v>
      </c>
      <c r="K406" s="674" t="str">
        <f t="shared" si="19"/>
        <v xml:space="preserve"> </v>
      </c>
    </row>
    <row r="407" spans="1:11" ht="21" customHeight="1">
      <c r="A407" s="1013"/>
      <c r="B407" s="772"/>
      <c r="C407" s="671"/>
      <c r="D407" s="773"/>
      <c r="E407" s="774"/>
      <c r="F407" s="173"/>
      <c r="G407" s="672"/>
      <c r="H407" s="1011" t="str">
        <f t="shared" si="20"/>
        <v xml:space="preserve"> </v>
      </c>
      <c r="I407" s="172" t="str">
        <f t="shared" si="17"/>
        <v xml:space="preserve"> </v>
      </c>
      <c r="J407" s="673" t="str">
        <f t="shared" si="18"/>
        <v xml:space="preserve"> </v>
      </c>
      <c r="K407" s="674" t="str">
        <f t="shared" si="19"/>
        <v xml:space="preserve"> </v>
      </c>
    </row>
    <row r="408" spans="1:11" ht="21" customHeight="1">
      <c r="A408" s="1013"/>
      <c r="B408" s="772"/>
      <c r="C408" s="671"/>
      <c r="D408" s="773"/>
      <c r="E408" s="774"/>
      <c r="F408" s="173"/>
      <c r="G408" s="672"/>
      <c r="H408" s="1011" t="str">
        <f t="shared" si="20"/>
        <v xml:space="preserve"> </v>
      </c>
      <c r="I408" s="172" t="str">
        <f t="shared" si="17"/>
        <v xml:space="preserve"> </v>
      </c>
      <c r="J408" s="673" t="str">
        <f t="shared" si="18"/>
        <v xml:space="preserve"> </v>
      </c>
      <c r="K408" s="674" t="str">
        <f t="shared" si="19"/>
        <v xml:space="preserve"> </v>
      </c>
    </row>
    <row r="409" spans="1:11" ht="21" customHeight="1">
      <c r="A409" s="1013"/>
      <c r="B409" s="772"/>
      <c r="C409" s="671"/>
      <c r="D409" s="773"/>
      <c r="E409" s="774"/>
      <c r="F409" s="173"/>
      <c r="G409" s="672"/>
      <c r="H409" s="1011" t="str">
        <f t="shared" si="20"/>
        <v xml:space="preserve"> </v>
      </c>
      <c r="I409" s="172" t="str">
        <f t="shared" si="17"/>
        <v xml:space="preserve"> </v>
      </c>
      <c r="J409" s="673" t="str">
        <f t="shared" si="18"/>
        <v xml:space="preserve"> </v>
      </c>
      <c r="K409" s="674" t="str">
        <f t="shared" si="19"/>
        <v xml:space="preserve"> </v>
      </c>
    </row>
    <row r="410" spans="1:11" ht="21" customHeight="1">
      <c r="A410" s="1013"/>
      <c r="B410" s="772"/>
      <c r="C410" s="671"/>
      <c r="D410" s="773"/>
      <c r="E410" s="774"/>
      <c r="F410" s="173"/>
      <c r="G410" s="672"/>
      <c r="H410" s="1011" t="str">
        <f t="shared" si="20"/>
        <v xml:space="preserve"> </v>
      </c>
      <c r="I410" s="172" t="str">
        <f t="shared" si="17"/>
        <v xml:space="preserve"> </v>
      </c>
      <c r="J410" s="673" t="str">
        <f t="shared" si="18"/>
        <v xml:space="preserve"> </v>
      </c>
      <c r="K410" s="674" t="str">
        <f t="shared" si="19"/>
        <v xml:space="preserve"> </v>
      </c>
    </row>
    <row r="411" spans="1:11" ht="21" customHeight="1">
      <c r="A411" s="1013"/>
      <c r="B411" s="772"/>
      <c r="C411" s="671"/>
      <c r="D411" s="773"/>
      <c r="E411" s="774"/>
      <c r="F411" s="173"/>
      <c r="G411" s="672"/>
      <c r="H411" s="1011" t="str">
        <f t="shared" si="20"/>
        <v xml:space="preserve"> </v>
      </c>
      <c r="I411" s="172" t="str">
        <f t="shared" si="17"/>
        <v xml:space="preserve"> </v>
      </c>
      <c r="J411" s="673" t="str">
        <f t="shared" si="18"/>
        <v xml:space="preserve"> </v>
      </c>
      <c r="K411" s="674" t="str">
        <f t="shared" si="19"/>
        <v xml:space="preserve"> </v>
      </c>
    </row>
    <row r="412" spans="1:11" ht="21" customHeight="1">
      <c r="A412" s="1013"/>
      <c r="B412" s="772"/>
      <c r="C412" s="671"/>
      <c r="D412" s="773"/>
      <c r="E412" s="774"/>
      <c r="F412" s="173"/>
      <c r="G412" s="672"/>
      <c r="H412" s="1011" t="str">
        <f t="shared" si="20"/>
        <v xml:space="preserve"> </v>
      </c>
      <c r="I412" s="172" t="str">
        <f t="shared" si="17"/>
        <v xml:space="preserve"> </v>
      </c>
      <c r="J412" s="673" t="str">
        <f t="shared" si="18"/>
        <v xml:space="preserve"> </v>
      </c>
      <c r="K412" s="674" t="str">
        <f t="shared" si="19"/>
        <v xml:space="preserve"> </v>
      </c>
    </row>
    <row r="413" spans="1:11" ht="21" customHeight="1">
      <c r="A413" s="1013"/>
      <c r="B413" s="772"/>
      <c r="C413" s="671"/>
      <c r="D413" s="773"/>
      <c r="E413" s="774"/>
      <c r="F413" s="173"/>
      <c r="G413" s="672"/>
      <c r="H413" s="1011" t="str">
        <f t="shared" si="20"/>
        <v xml:space="preserve"> </v>
      </c>
      <c r="I413" s="172" t="str">
        <f t="shared" si="17"/>
        <v xml:space="preserve"> </v>
      </c>
      <c r="J413" s="673" t="str">
        <f t="shared" si="18"/>
        <v xml:space="preserve"> </v>
      </c>
      <c r="K413" s="674" t="str">
        <f t="shared" si="19"/>
        <v xml:space="preserve"> </v>
      </c>
    </row>
    <row r="414" spans="1:11" ht="21" customHeight="1">
      <c r="A414" s="1013"/>
      <c r="B414" s="772"/>
      <c r="C414" s="671"/>
      <c r="D414" s="773"/>
      <c r="E414" s="774"/>
      <c r="F414" s="173"/>
      <c r="G414" s="672"/>
      <c r="H414" s="1011" t="str">
        <f t="shared" si="20"/>
        <v xml:space="preserve"> </v>
      </c>
      <c r="I414" s="172" t="str">
        <f t="shared" si="17"/>
        <v xml:space="preserve"> </v>
      </c>
      <c r="J414" s="673" t="str">
        <f t="shared" si="18"/>
        <v xml:space="preserve"> </v>
      </c>
      <c r="K414" s="674" t="str">
        <f t="shared" si="19"/>
        <v xml:space="preserve"> </v>
      </c>
    </row>
    <row r="415" spans="1:11" ht="21" customHeight="1">
      <c r="A415" s="1013"/>
      <c r="B415" s="772"/>
      <c r="C415" s="671"/>
      <c r="D415" s="773"/>
      <c r="E415" s="774"/>
      <c r="F415" s="173"/>
      <c r="G415" s="672"/>
      <c r="H415" s="1011" t="str">
        <f t="shared" si="20"/>
        <v xml:space="preserve"> </v>
      </c>
      <c r="I415" s="172" t="str">
        <f t="shared" ref="I415:I478" si="21">IF($D415="Заплыв №","РЕЗУЛЬТАТ"," ")</f>
        <v xml:space="preserve"> </v>
      </c>
      <c r="J415" s="673" t="str">
        <f t="shared" ref="J415:J478" si="22">IF($D415="Заплыв №","ФИНИШ"," ")</f>
        <v xml:space="preserve"> </v>
      </c>
      <c r="K415" s="674" t="str">
        <f t="shared" ref="K415:K478" si="23">IF($D415="Заплыв №","ПРИМ."," ")</f>
        <v xml:space="preserve"> </v>
      </c>
    </row>
    <row r="416" spans="1:11" ht="21" customHeight="1">
      <c r="A416" s="1013"/>
      <c r="B416" s="772"/>
      <c r="C416" s="671"/>
      <c r="D416" s="773"/>
      <c r="E416" s="774"/>
      <c r="F416" s="173"/>
      <c r="G416" s="672"/>
      <c r="H416" s="1011" t="str">
        <f t="shared" si="20"/>
        <v xml:space="preserve"> </v>
      </c>
      <c r="I416" s="172" t="str">
        <f t="shared" si="21"/>
        <v xml:space="preserve"> </v>
      </c>
      <c r="J416" s="673" t="str">
        <f t="shared" si="22"/>
        <v xml:space="preserve"> </v>
      </c>
      <c r="K416" s="674" t="str">
        <f t="shared" si="23"/>
        <v xml:space="preserve"> </v>
      </c>
    </row>
    <row r="417" spans="1:11" ht="21" customHeight="1">
      <c r="A417" s="1013"/>
      <c r="B417" s="772"/>
      <c r="C417" s="671"/>
      <c r="D417" s="773"/>
      <c r="E417" s="774"/>
      <c r="F417" s="173"/>
      <c r="G417" s="672"/>
      <c r="H417" s="1011" t="str">
        <f t="shared" si="20"/>
        <v xml:space="preserve"> </v>
      </c>
      <c r="I417" s="172" t="str">
        <f t="shared" si="21"/>
        <v xml:space="preserve"> </v>
      </c>
      <c r="J417" s="673" t="str">
        <f t="shared" si="22"/>
        <v xml:space="preserve"> </v>
      </c>
      <c r="K417" s="674" t="str">
        <f t="shared" si="23"/>
        <v xml:space="preserve"> </v>
      </c>
    </row>
    <row r="418" spans="1:11" ht="21" customHeight="1">
      <c r="A418" s="1013"/>
      <c r="B418" s="772"/>
      <c r="C418" s="671"/>
      <c r="D418" s="773"/>
      <c r="E418" s="774"/>
      <c r="F418" s="173"/>
      <c r="G418" s="672"/>
      <c r="H418" s="1011" t="str">
        <f t="shared" si="20"/>
        <v xml:space="preserve"> </v>
      </c>
      <c r="I418" s="172" t="str">
        <f t="shared" si="21"/>
        <v xml:space="preserve"> </v>
      </c>
      <c r="J418" s="673" t="str">
        <f t="shared" si="22"/>
        <v xml:space="preserve"> </v>
      </c>
      <c r="K418" s="674" t="str">
        <f t="shared" si="23"/>
        <v xml:space="preserve"> </v>
      </c>
    </row>
    <row r="419" spans="1:11" ht="21" customHeight="1">
      <c r="A419" s="1013"/>
      <c r="B419" s="772"/>
      <c r="C419" s="671"/>
      <c r="D419" s="773"/>
      <c r="E419" s="774"/>
      <c r="F419" s="173"/>
      <c r="G419" s="672"/>
      <c r="H419" s="1011" t="str">
        <f t="shared" si="20"/>
        <v xml:space="preserve"> </v>
      </c>
      <c r="I419" s="172" t="str">
        <f t="shared" si="21"/>
        <v xml:space="preserve"> </v>
      </c>
      <c r="J419" s="673" t="str">
        <f t="shared" si="22"/>
        <v xml:space="preserve"> </v>
      </c>
      <c r="K419" s="674" t="str">
        <f t="shared" si="23"/>
        <v xml:space="preserve"> </v>
      </c>
    </row>
    <row r="420" spans="1:11" ht="21" customHeight="1">
      <c r="A420" s="1013"/>
      <c r="B420" s="772"/>
      <c r="C420" s="671"/>
      <c r="D420" s="773"/>
      <c r="E420" s="774"/>
      <c r="F420" s="173"/>
      <c r="G420" s="672"/>
      <c r="H420" s="1011" t="str">
        <f t="shared" si="20"/>
        <v xml:space="preserve"> </v>
      </c>
      <c r="I420" s="172" t="str">
        <f t="shared" si="21"/>
        <v xml:space="preserve"> </v>
      </c>
      <c r="J420" s="673" t="str">
        <f t="shared" si="22"/>
        <v xml:space="preserve"> </v>
      </c>
      <c r="K420" s="674" t="str">
        <f t="shared" si="23"/>
        <v xml:space="preserve"> </v>
      </c>
    </row>
    <row r="421" spans="1:11" ht="21" customHeight="1">
      <c r="A421" s="1013"/>
      <c r="B421" s="772"/>
      <c r="C421" s="671"/>
      <c r="D421" s="773"/>
      <c r="E421" s="774"/>
      <c r="F421" s="173"/>
      <c r="G421" s="672"/>
      <c r="H421" s="1011" t="str">
        <f t="shared" si="20"/>
        <v xml:space="preserve"> </v>
      </c>
      <c r="I421" s="172" t="str">
        <f t="shared" si="21"/>
        <v xml:space="preserve"> </v>
      </c>
      <c r="J421" s="673" t="str">
        <f t="shared" si="22"/>
        <v xml:space="preserve"> </v>
      </c>
      <c r="K421" s="674" t="str">
        <f t="shared" si="23"/>
        <v xml:space="preserve"> </v>
      </c>
    </row>
    <row r="422" spans="1:11" ht="21" customHeight="1">
      <c r="A422" s="1013"/>
      <c r="B422" s="772"/>
      <c r="C422" s="671"/>
      <c r="D422" s="773"/>
      <c r="E422" s="774"/>
      <c r="F422" s="173"/>
      <c r="G422" s="672"/>
      <c r="H422" s="1011" t="str">
        <f t="shared" si="20"/>
        <v xml:space="preserve"> </v>
      </c>
      <c r="I422" s="172" t="str">
        <f t="shared" si="21"/>
        <v xml:space="preserve"> </v>
      </c>
      <c r="J422" s="673" t="str">
        <f t="shared" si="22"/>
        <v xml:space="preserve"> </v>
      </c>
      <c r="K422" s="674" t="str">
        <f t="shared" si="23"/>
        <v xml:space="preserve"> </v>
      </c>
    </row>
    <row r="423" spans="1:11" ht="21" customHeight="1">
      <c r="A423" s="1013"/>
      <c r="B423" s="772"/>
      <c r="C423" s="671"/>
      <c r="D423" s="773"/>
      <c r="E423" s="774"/>
      <c r="F423" s="173"/>
      <c r="G423" s="672"/>
      <c r="H423" s="1011" t="str">
        <f t="shared" si="20"/>
        <v xml:space="preserve"> </v>
      </c>
      <c r="I423" s="172" t="str">
        <f t="shared" si="21"/>
        <v xml:space="preserve"> </v>
      </c>
      <c r="J423" s="673" t="str">
        <f t="shared" si="22"/>
        <v xml:space="preserve"> </v>
      </c>
      <c r="K423" s="674" t="str">
        <f t="shared" si="23"/>
        <v xml:space="preserve"> </v>
      </c>
    </row>
    <row r="424" spans="1:11" ht="21" customHeight="1">
      <c r="A424" s="1013"/>
      <c r="B424" s="772"/>
      <c r="C424" s="671"/>
      <c r="D424" s="773"/>
      <c r="E424" s="774"/>
      <c r="F424" s="173"/>
      <c r="G424" s="672"/>
      <c r="H424" s="1011" t="str">
        <f t="shared" si="20"/>
        <v xml:space="preserve"> </v>
      </c>
      <c r="I424" s="172" t="str">
        <f t="shared" si="21"/>
        <v xml:space="preserve"> </v>
      </c>
      <c r="J424" s="673" t="str">
        <f t="shared" si="22"/>
        <v xml:space="preserve"> </v>
      </c>
      <c r="K424" s="674" t="str">
        <f t="shared" si="23"/>
        <v xml:space="preserve"> </v>
      </c>
    </row>
    <row r="425" spans="1:11" ht="21" customHeight="1">
      <c r="A425" s="1013"/>
      <c r="B425" s="772"/>
      <c r="C425" s="671"/>
      <c r="D425" s="773"/>
      <c r="E425" s="774"/>
      <c r="F425" s="173"/>
      <c r="G425" s="672"/>
      <c r="H425" s="1011" t="str">
        <f t="shared" si="20"/>
        <v xml:space="preserve"> </v>
      </c>
      <c r="I425" s="172" t="str">
        <f t="shared" si="21"/>
        <v xml:space="preserve"> </v>
      </c>
      <c r="J425" s="673" t="str">
        <f t="shared" si="22"/>
        <v xml:space="preserve"> </v>
      </c>
      <c r="K425" s="674" t="str">
        <f t="shared" si="23"/>
        <v xml:space="preserve"> </v>
      </c>
    </row>
    <row r="426" spans="1:11" ht="21" customHeight="1">
      <c r="A426" s="1013"/>
      <c r="B426" s="772"/>
      <c r="C426" s="671"/>
      <c r="D426" s="773"/>
      <c r="E426" s="774"/>
      <c r="F426" s="173"/>
      <c r="G426" s="672"/>
      <c r="H426" s="1011" t="str">
        <f t="shared" si="20"/>
        <v xml:space="preserve"> </v>
      </c>
      <c r="I426" s="172" t="str">
        <f t="shared" si="21"/>
        <v xml:space="preserve"> </v>
      </c>
      <c r="J426" s="673" t="str">
        <f t="shared" si="22"/>
        <v xml:space="preserve"> </v>
      </c>
      <c r="K426" s="674" t="str">
        <f t="shared" si="23"/>
        <v xml:space="preserve"> </v>
      </c>
    </row>
    <row r="427" spans="1:11" ht="21" customHeight="1">
      <c r="A427" s="1013"/>
      <c r="B427" s="772"/>
      <c r="C427" s="671"/>
      <c r="D427" s="773"/>
      <c r="E427" s="774"/>
      <c r="F427" s="173"/>
      <c r="G427" s="672"/>
      <c r="H427" s="1011" t="str">
        <f t="shared" si="20"/>
        <v xml:space="preserve"> </v>
      </c>
      <c r="I427" s="172" t="str">
        <f t="shared" si="21"/>
        <v xml:space="preserve"> </v>
      </c>
      <c r="J427" s="673" t="str">
        <f t="shared" si="22"/>
        <v xml:space="preserve"> </v>
      </c>
      <c r="K427" s="674" t="str">
        <f t="shared" si="23"/>
        <v xml:space="preserve"> </v>
      </c>
    </row>
    <row r="428" spans="1:11" ht="21" customHeight="1">
      <c r="A428" s="1013"/>
      <c r="B428" s="772"/>
      <c r="C428" s="671"/>
      <c r="D428" s="773"/>
      <c r="E428" s="774"/>
      <c r="F428" s="173"/>
      <c r="G428" s="672"/>
      <c r="H428" s="1011" t="str">
        <f t="shared" si="20"/>
        <v xml:space="preserve"> </v>
      </c>
      <c r="I428" s="172" t="str">
        <f t="shared" si="21"/>
        <v xml:space="preserve"> </v>
      </c>
      <c r="J428" s="673" t="str">
        <f t="shared" si="22"/>
        <v xml:space="preserve"> </v>
      </c>
      <c r="K428" s="674" t="str">
        <f t="shared" si="23"/>
        <v xml:space="preserve"> </v>
      </c>
    </row>
    <row r="429" spans="1:11" ht="21" customHeight="1">
      <c r="A429" s="1013"/>
      <c r="B429" s="772"/>
      <c r="C429" s="671"/>
      <c r="D429" s="773"/>
      <c r="E429" s="774"/>
      <c r="F429" s="173"/>
      <c r="G429" s="672"/>
      <c r="H429" s="1011" t="str">
        <f t="shared" si="20"/>
        <v xml:space="preserve"> </v>
      </c>
      <c r="I429" s="172" t="str">
        <f t="shared" si="21"/>
        <v xml:space="preserve"> </v>
      </c>
      <c r="J429" s="673" t="str">
        <f t="shared" si="22"/>
        <v xml:space="preserve"> </v>
      </c>
      <c r="K429" s="674" t="str">
        <f t="shared" si="23"/>
        <v xml:space="preserve"> </v>
      </c>
    </row>
    <row r="430" spans="1:11" ht="21" customHeight="1">
      <c r="A430" s="1013"/>
      <c r="B430" s="772"/>
      <c r="C430" s="671"/>
      <c r="D430" s="773"/>
      <c r="E430" s="774"/>
      <c r="F430" s="173"/>
      <c r="G430" s="672"/>
      <c r="H430" s="1011" t="str">
        <f t="shared" si="20"/>
        <v xml:space="preserve"> </v>
      </c>
      <c r="I430" s="172" t="str">
        <f t="shared" si="21"/>
        <v xml:space="preserve"> </v>
      </c>
      <c r="J430" s="673" t="str">
        <f t="shared" si="22"/>
        <v xml:space="preserve"> </v>
      </c>
      <c r="K430" s="674" t="str">
        <f t="shared" si="23"/>
        <v xml:space="preserve"> </v>
      </c>
    </row>
    <row r="431" spans="1:11" ht="21" customHeight="1">
      <c r="A431" s="1013"/>
      <c r="B431" s="772"/>
      <c r="C431" s="671"/>
      <c r="D431" s="773"/>
      <c r="E431" s="774"/>
      <c r="F431" s="173"/>
      <c r="G431" s="672"/>
      <c r="H431" s="1011" t="str">
        <f t="shared" si="20"/>
        <v xml:space="preserve"> </v>
      </c>
      <c r="I431" s="172" t="str">
        <f t="shared" si="21"/>
        <v xml:space="preserve"> </v>
      </c>
      <c r="J431" s="673" t="str">
        <f t="shared" si="22"/>
        <v xml:space="preserve"> </v>
      </c>
      <c r="K431" s="674" t="str">
        <f t="shared" si="23"/>
        <v xml:space="preserve"> </v>
      </c>
    </row>
    <row r="432" spans="1:11" ht="21" customHeight="1">
      <c r="A432" s="1013"/>
      <c r="B432" s="772"/>
      <c r="C432" s="671"/>
      <c r="D432" s="773"/>
      <c r="E432" s="774"/>
      <c r="F432" s="173"/>
      <c r="G432" s="672"/>
      <c r="H432" s="1011" t="str">
        <f t="shared" si="20"/>
        <v xml:space="preserve"> </v>
      </c>
      <c r="I432" s="172" t="str">
        <f t="shared" si="21"/>
        <v xml:space="preserve"> </v>
      </c>
      <c r="J432" s="673" t="str">
        <f t="shared" si="22"/>
        <v xml:space="preserve"> </v>
      </c>
      <c r="K432" s="674" t="str">
        <f t="shared" si="23"/>
        <v xml:space="preserve"> </v>
      </c>
    </row>
    <row r="433" spans="1:11" ht="21" customHeight="1">
      <c r="A433" s="1013"/>
      <c r="B433" s="772"/>
      <c r="C433" s="671"/>
      <c r="D433" s="773"/>
      <c r="E433" s="774"/>
      <c r="F433" s="173"/>
      <c r="G433" s="672"/>
      <c r="H433" s="1011" t="str">
        <f t="shared" si="20"/>
        <v xml:space="preserve"> </v>
      </c>
      <c r="I433" s="172" t="str">
        <f t="shared" si="21"/>
        <v xml:space="preserve"> </v>
      </c>
      <c r="J433" s="673" t="str">
        <f t="shared" si="22"/>
        <v xml:space="preserve"> </v>
      </c>
      <c r="K433" s="674" t="str">
        <f t="shared" si="23"/>
        <v xml:space="preserve"> </v>
      </c>
    </row>
    <row r="434" spans="1:11" ht="21" customHeight="1">
      <c r="A434" s="1013"/>
      <c r="B434" s="772"/>
      <c r="C434" s="671"/>
      <c r="D434" s="773"/>
      <c r="E434" s="774"/>
      <c r="F434" s="173"/>
      <c r="G434" s="672"/>
      <c r="H434" s="1011" t="str">
        <f t="shared" si="20"/>
        <v xml:space="preserve"> </v>
      </c>
      <c r="I434" s="172" t="str">
        <f t="shared" si="21"/>
        <v xml:space="preserve"> </v>
      </c>
      <c r="J434" s="673" t="str">
        <f t="shared" si="22"/>
        <v xml:space="preserve"> </v>
      </c>
      <c r="K434" s="674" t="str">
        <f t="shared" si="23"/>
        <v xml:space="preserve"> </v>
      </c>
    </row>
    <row r="435" spans="1:11" ht="21" customHeight="1">
      <c r="A435" s="1013"/>
      <c r="B435" s="772"/>
      <c r="C435" s="671"/>
      <c r="D435" s="773"/>
      <c r="E435" s="774"/>
      <c r="F435" s="173"/>
      <c r="G435" s="672"/>
      <c r="H435" s="1011" t="str">
        <f t="shared" si="20"/>
        <v xml:space="preserve"> </v>
      </c>
      <c r="I435" s="172" t="str">
        <f t="shared" si="21"/>
        <v xml:space="preserve"> </v>
      </c>
      <c r="J435" s="673" t="str">
        <f t="shared" si="22"/>
        <v xml:space="preserve"> </v>
      </c>
      <c r="K435" s="674" t="str">
        <f t="shared" si="23"/>
        <v xml:space="preserve"> </v>
      </c>
    </row>
    <row r="436" spans="1:11" ht="21" customHeight="1">
      <c r="A436" s="1013"/>
      <c r="B436" s="772"/>
      <c r="C436" s="671"/>
      <c r="D436" s="773"/>
      <c r="E436" s="774"/>
      <c r="F436" s="173"/>
      <c r="G436" s="672"/>
      <c r="H436" s="1011" t="str">
        <f t="shared" si="20"/>
        <v xml:space="preserve"> </v>
      </c>
      <c r="I436" s="172" t="str">
        <f t="shared" si="21"/>
        <v xml:space="preserve"> </v>
      </c>
      <c r="J436" s="673" t="str">
        <f t="shared" si="22"/>
        <v xml:space="preserve"> </v>
      </c>
      <c r="K436" s="674" t="str">
        <f t="shared" si="23"/>
        <v xml:space="preserve"> </v>
      </c>
    </row>
    <row r="437" spans="1:11" ht="21" customHeight="1">
      <c r="A437" s="1013"/>
      <c r="B437" s="772"/>
      <c r="C437" s="671"/>
      <c r="D437" s="773"/>
      <c r="E437" s="774"/>
      <c r="F437" s="173"/>
      <c r="G437" s="672"/>
      <c r="H437" s="1011" t="str">
        <f t="shared" si="20"/>
        <v xml:space="preserve"> </v>
      </c>
      <c r="I437" s="172" t="str">
        <f t="shared" si="21"/>
        <v xml:space="preserve"> </v>
      </c>
      <c r="J437" s="673" t="str">
        <f t="shared" si="22"/>
        <v xml:space="preserve"> </v>
      </c>
      <c r="K437" s="674" t="str">
        <f t="shared" si="23"/>
        <v xml:space="preserve"> </v>
      </c>
    </row>
    <row r="438" spans="1:11" ht="21" customHeight="1">
      <c r="A438" s="1013"/>
      <c r="B438" s="772"/>
      <c r="C438" s="671"/>
      <c r="D438" s="773"/>
      <c r="E438" s="774"/>
      <c r="F438" s="173"/>
      <c r="G438" s="672"/>
      <c r="H438" s="1011" t="str">
        <f t="shared" ref="H438:H501" si="24">IF(ISBLANK(A438)," ",A438)</f>
        <v xml:space="preserve"> </v>
      </c>
      <c r="I438" s="172" t="str">
        <f t="shared" si="21"/>
        <v xml:space="preserve"> </v>
      </c>
      <c r="J438" s="673" t="str">
        <f t="shared" si="22"/>
        <v xml:space="preserve"> </v>
      </c>
      <c r="K438" s="674" t="str">
        <f t="shared" si="23"/>
        <v xml:space="preserve"> </v>
      </c>
    </row>
    <row r="439" spans="1:11" ht="21" customHeight="1">
      <c r="A439" s="1013"/>
      <c r="B439" s="772"/>
      <c r="C439" s="671"/>
      <c r="D439" s="773"/>
      <c r="E439" s="774"/>
      <c r="F439" s="173"/>
      <c r="G439" s="672"/>
      <c r="H439" s="1011" t="str">
        <f t="shared" si="24"/>
        <v xml:space="preserve"> </v>
      </c>
      <c r="I439" s="172" t="str">
        <f t="shared" si="21"/>
        <v xml:space="preserve"> </v>
      </c>
      <c r="J439" s="673" t="str">
        <f t="shared" si="22"/>
        <v xml:space="preserve"> </v>
      </c>
      <c r="K439" s="674" t="str">
        <f t="shared" si="23"/>
        <v xml:space="preserve"> </v>
      </c>
    </row>
    <row r="440" spans="1:11" ht="21" customHeight="1">
      <c r="A440" s="1013"/>
      <c r="B440" s="772"/>
      <c r="C440" s="671"/>
      <c r="D440" s="773"/>
      <c r="E440" s="774"/>
      <c r="F440" s="173"/>
      <c r="G440" s="672"/>
      <c r="H440" s="1011" t="str">
        <f t="shared" si="24"/>
        <v xml:space="preserve"> </v>
      </c>
      <c r="I440" s="172" t="str">
        <f t="shared" si="21"/>
        <v xml:space="preserve"> </v>
      </c>
      <c r="J440" s="673" t="str">
        <f t="shared" si="22"/>
        <v xml:space="preserve"> </v>
      </c>
      <c r="K440" s="674" t="str">
        <f t="shared" si="23"/>
        <v xml:space="preserve"> </v>
      </c>
    </row>
    <row r="441" spans="1:11" ht="21" customHeight="1">
      <c r="A441" s="1013"/>
      <c r="B441" s="772"/>
      <c r="C441" s="671"/>
      <c r="D441" s="773"/>
      <c r="E441" s="774"/>
      <c r="F441" s="173"/>
      <c r="G441" s="672"/>
      <c r="H441" s="1011" t="str">
        <f t="shared" si="24"/>
        <v xml:space="preserve"> </v>
      </c>
      <c r="I441" s="172" t="str">
        <f t="shared" si="21"/>
        <v xml:space="preserve"> </v>
      </c>
      <c r="J441" s="673" t="str">
        <f t="shared" si="22"/>
        <v xml:space="preserve"> </v>
      </c>
      <c r="K441" s="674" t="str">
        <f t="shared" si="23"/>
        <v xml:space="preserve"> </v>
      </c>
    </row>
    <row r="442" spans="1:11" ht="21" customHeight="1">
      <c r="A442" s="1013"/>
      <c r="B442" s="772"/>
      <c r="C442" s="671"/>
      <c r="D442" s="773"/>
      <c r="E442" s="774"/>
      <c r="F442" s="173"/>
      <c r="G442" s="672"/>
      <c r="H442" s="1011" t="str">
        <f t="shared" si="24"/>
        <v xml:space="preserve"> </v>
      </c>
      <c r="I442" s="172" t="str">
        <f t="shared" si="21"/>
        <v xml:space="preserve"> </v>
      </c>
      <c r="J442" s="673" t="str">
        <f t="shared" si="22"/>
        <v xml:space="preserve"> </v>
      </c>
      <c r="K442" s="674" t="str">
        <f t="shared" si="23"/>
        <v xml:space="preserve"> </v>
      </c>
    </row>
    <row r="443" spans="1:11" ht="21" customHeight="1">
      <c r="A443" s="1013"/>
      <c r="B443" s="772"/>
      <c r="C443" s="671"/>
      <c r="D443" s="773"/>
      <c r="E443" s="774"/>
      <c r="F443" s="173"/>
      <c r="G443" s="672"/>
      <c r="H443" s="1011" t="str">
        <f t="shared" si="24"/>
        <v xml:space="preserve"> </v>
      </c>
      <c r="I443" s="172" t="str">
        <f t="shared" si="21"/>
        <v xml:space="preserve"> </v>
      </c>
      <c r="J443" s="673" t="str">
        <f t="shared" si="22"/>
        <v xml:space="preserve"> </v>
      </c>
      <c r="K443" s="674" t="str">
        <f t="shared" si="23"/>
        <v xml:space="preserve"> </v>
      </c>
    </row>
    <row r="444" spans="1:11" ht="21" customHeight="1">
      <c r="A444" s="1013"/>
      <c r="B444" s="772"/>
      <c r="C444" s="671"/>
      <c r="D444" s="773"/>
      <c r="E444" s="774"/>
      <c r="F444" s="173"/>
      <c r="G444" s="672"/>
      <c r="H444" s="1011" t="str">
        <f t="shared" si="24"/>
        <v xml:space="preserve"> </v>
      </c>
      <c r="I444" s="172" t="str">
        <f t="shared" si="21"/>
        <v xml:space="preserve"> </v>
      </c>
      <c r="J444" s="673" t="str">
        <f t="shared" si="22"/>
        <v xml:space="preserve"> </v>
      </c>
      <c r="K444" s="674" t="str">
        <f t="shared" si="23"/>
        <v xml:space="preserve"> </v>
      </c>
    </row>
    <row r="445" spans="1:11" ht="21" customHeight="1">
      <c r="A445" s="1013"/>
      <c r="B445" s="772"/>
      <c r="C445" s="671"/>
      <c r="D445" s="773"/>
      <c r="E445" s="774"/>
      <c r="F445" s="173"/>
      <c r="G445" s="672"/>
      <c r="H445" s="1011" t="str">
        <f t="shared" si="24"/>
        <v xml:space="preserve"> </v>
      </c>
      <c r="I445" s="172" t="str">
        <f t="shared" si="21"/>
        <v xml:space="preserve"> </v>
      </c>
      <c r="J445" s="673" t="str">
        <f t="shared" si="22"/>
        <v xml:space="preserve"> </v>
      </c>
      <c r="K445" s="674" t="str">
        <f t="shared" si="23"/>
        <v xml:space="preserve"> </v>
      </c>
    </row>
    <row r="446" spans="1:11" ht="21" customHeight="1">
      <c r="A446" s="1013"/>
      <c r="B446" s="772"/>
      <c r="C446" s="671"/>
      <c r="D446" s="773"/>
      <c r="E446" s="774"/>
      <c r="F446" s="173"/>
      <c r="G446" s="672"/>
      <c r="H446" s="1011" t="str">
        <f t="shared" si="24"/>
        <v xml:space="preserve"> </v>
      </c>
      <c r="I446" s="172" t="str">
        <f t="shared" si="21"/>
        <v xml:space="preserve"> </v>
      </c>
      <c r="J446" s="673" t="str">
        <f t="shared" si="22"/>
        <v xml:space="preserve"> </v>
      </c>
      <c r="K446" s="674" t="str">
        <f t="shared" si="23"/>
        <v xml:space="preserve"> </v>
      </c>
    </row>
    <row r="447" spans="1:11" ht="21" customHeight="1">
      <c r="A447" s="1013"/>
      <c r="B447" s="772"/>
      <c r="C447" s="671"/>
      <c r="D447" s="773"/>
      <c r="E447" s="774"/>
      <c r="F447" s="173"/>
      <c r="G447" s="672"/>
      <c r="H447" s="1011" t="str">
        <f t="shared" si="24"/>
        <v xml:space="preserve"> </v>
      </c>
      <c r="I447" s="172" t="str">
        <f t="shared" si="21"/>
        <v xml:space="preserve"> </v>
      </c>
      <c r="J447" s="673" t="str">
        <f t="shared" si="22"/>
        <v xml:space="preserve"> </v>
      </c>
      <c r="K447" s="674" t="str">
        <f t="shared" si="23"/>
        <v xml:space="preserve"> </v>
      </c>
    </row>
    <row r="448" spans="1:11" ht="21" customHeight="1">
      <c r="A448" s="1013"/>
      <c r="B448" s="772"/>
      <c r="C448" s="671"/>
      <c r="D448" s="773"/>
      <c r="E448" s="774"/>
      <c r="F448" s="173"/>
      <c r="G448" s="672"/>
      <c r="H448" s="1011" t="str">
        <f t="shared" si="24"/>
        <v xml:space="preserve"> </v>
      </c>
      <c r="I448" s="172" t="str">
        <f t="shared" si="21"/>
        <v xml:space="preserve"> </v>
      </c>
      <c r="J448" s="673" t="str">
        <f t="shared" si="22"/>
        <v xml:space="preserve"> </v>
      </c>
      <c r="K448" s="674" t="str">
        <f t="shared" si="23"/>
        <v xml:space="preserve"> </v>
      </c>
    </row>
    <row r="449" spans="1:11" ht="21" customHeight="1">
      <c r="A449" s="1013"/>
      <c r="B449" s="772"/>
      <c r="C449" s="671"/>
      <c r="D449" s="773"/>
      <c r="E449" s="774"/>
      <c r="F449" s="173"/>
      <c r="G449" s="672"/>
      <c r="H449" s="1011" t="str">
        <f t="shared" si="24"/>
        <v xml:space="preserve"> </v>
      </c>
      <c r="I449" s="172" t="str">
        <f t="shared" si="21"/>
        <v xml:space="preserve"> </v>
      </c>
      <c r="J449" s="673" t="str">
        <f t="shared" si="22"/>
        <v xml:space="preserve"> </v>
      </c>
      <c r="K449" s="674" t="str">
        <f t="shared" si="23"/>
        <v xml:space="preserve"> </v>
      </c>
    </row>
    <row r="450" spans="1:11" ht="21" customHeight="1">
      <c r="A450" s="1013"/>
      <c r="B450" s="772"/>
      <c r="C450" s="671"/>
      <c r="D450" s="773"/>
      <c r="E450" s="774"/>
      <c r="F450" s="173"/>
      <c r="G450" s="672"/>
      <c r="H450" s="1011" t="str">
        <f t="shared" si="24"/>
        <v xml:space="preserve"> </v>
      </c>
      <c r="I450" s="172" t="str">
        <f t="shared" si="21"/>
        <v xml:space="preserve"> </v>
      </c>
      <c r="J450" s="673" t="str">
        <f t="shared" si="22"/>
        <v xml:space="preserve"> </v>
      </c>
      <c r="K450" s="674" t="str">
        <f t="shared" si="23"/>
        <v xml:space="preserve"> </v>
      </c>
    </row>
    <row r="451" spans="1:11" ht="21" customHeight="1">
      <c r="A451" s="1013"/>
      <c r="B451" s="772"/>
      <c r="C451" s="671"/>
      <c r="D451" s="773"/>
      <c r="E451" s="774"/>
      <c r="F451" s="173"/>
      <c r="G451" s="672"/>
      <c r="H451" s="1011" t="str">
        <f t="shared" si="24"/>
        <v xml:space="preserve"> </v>
      </c>
      <c r="I451" s="172" t="str">
        <f t="shared" si="21"/>
        <v xml:space="preserve"> </v>
      </c>
      <c r="J451" s="673" t="str">
        <f t="shared" si="22"/>
        <v xml:space="preserve"> </v>
      </c>
      <c r="K451" s="674" t="str">
        <f t="shared" si="23"/>
        <v xml:space="preserve"> </v>
      </c>
    </row>
    <row r="452" spans="1:11" ht="21" customHeight="1">
      <c r="A452" s="1013"/>
      <c r="B452" s="772"/>
      <c r="C452" s="671"/>
      <c r="D452" s="773"/>
      <c r="E452" s="774"/>
      <c r="F452" s="173"/>
      <c r="G452" s="672"/>
      <c r="H452" s="1011" t="str">
        <f t="shared" si="24"/>
        <v xml:space="preserve"> </v>
      </c>
      <c r="I452" s="172" t="str">
        <f t="shared" si="21"/>
        <v xml:space="preserve"> </v>
      </c>
      <c r="J452" s="673" t="str">
        <f t="shared" si="22"/>
        <v xml:space="preserve"> </v>
      </c>
      <c r="K452" s="674" t="str">
        <f t="shared" si="23"/>
        <v xml:space="preserve"> </v>
      </c>
    </row>
    <row r="453" spans="1:11" ht="21" customHeight="1">
      <c r="A453" s="1013"/>
      <c r="B453" s="772"/>
      <c r="C453" s="671"/>
      <c r="D453" s="773"/>
      <c r="E453" s="774"/>
      <c r="F453" s="173"/>
      <c r="G453" s="672"/>
      <c r="H453" s="1011" t="str">
        <f t="shared" si="24"/>
        <v xml:space="preserve"> </v>
      </c>
      <c r="I453" s="172" t="str">
        <f t="shared" si="21"/>
        <v xml:space="preserve"> </v>
      </c>
      <c r="J453" s="673" t="str">
        <f t="shared" si="22"/>
        <v xml:space="preserve"> </v>
      </c>
      <c r="K453" s="674" t="str">
        <f t="shared" si="23"/>
        <v xml:space="preserve"> </v>
      </c>
    </row>
    <row r="454" spans="1:11" ht="21" customHeight="1">
      <c r="A454" s="1013"/>
      <c r="B454" s="772"/>
      <c r="C454" s="671"/>
      <c r="D454" s="773"/>
      <c r="E454" s="774"/>
      <c r="F454" s="173"/>
      <c r="G454" s="672"/>
      <c r="H454" s="1011" t="str">
        <f t="shared" si="24"/>
        <v xml:space="preserve"> </v>
      </c>
      <c r="I454" s="172" t="str">
        <f t="shared" si="21"/>
        <v xml:space="preserve"> </v>
      </c>
      <c r="J454" s="673" t="str">
        <f t="shared" si="22"/>
        <v xml:space="preserve"> </v>
      </c>
      <c r="K454" s="674" t="str">
        <f t="shared" si="23"/>
        <v xml:space="preserve"> </v>
      </c>
    </row>
    <row r="455" spans="1:11" ht="21" customHeight="1">
      <c r="A455" s="1013"/>
      <c r="B455" s="772"/>
      <c r="C455" s="671"/>
      <c r="D455" s="773"/>
      <c r="E455" s="774"/>
      <c r="F455" s="173"/>
      <c r="G455" s="672"/>
      <c r="H455" s="1011" t="str">
        <f t="shared" si="24"/>
        <v xml:space="preserve"> </v>
      </c>
      <c r="I455" s="172" t="str">
        <f t="shared" si="21"/>
        <v xml:space="preserve"> </v>
      </c>
      <c r="J455" s="673" t="str">
        <f t="shared" si="22"/>
        <v xml:space="preserve"> </v>
      </c>
      <c r="K455" s="674" t="str">
        <f t="shared" si="23"/>
        <v xml:space="preserve"> </v>
      </c>
    </row>
    <row r="456" spans="1:11" ht="21" customHeight="1">
      <c r="A456" s="1013"/>
      <c r="B456" s="772"/>
      <c r="C456" s="671"/>
      <c r="D456" s="773"/>
      <c r="E456" s="774"/>
      <c r="F456" s="173"/>
      <c r="G456" s="672"/>
      <c r="H456" s="1011" t="str">
        <f t="shared" si="24"/>
        <v xml:space="preserve"> </v>
      </c>
      <c r="I456" s="172" t="str">
        <f t="shared" si="21"/>
        <v xml:space="preserve"> </v>
      </c>
      <c r="J456" s="673" t="str">
        <f t="shared" si="22"/>
        <v xml:space="preserve"> </v>
      </c>
      <c r="K456" s="674" t="str">
        <f t="shared" si="23"/>
        <v xml:space="preserve"> </v>
      </c>
    </row>
    <row r="457" spans="1:11" ht="21" customHeight="1">
      <c r="A457" s="1013"/>
      <c r="B457" s="772"/>
      <c r="C457" s="671"/>
      <c r="D457" s="773"/>
      <c r="E457" s="774"/>
      <c r="F457" s="173"/>
      <c r="G457" s="672"/>
      <c r="H457" s="1011" t="str">
        <f t="shared" si="24"/>
        <v xml:space="preserve"> </v>
      </c>
      <c r="I457" s="172" t="str">
        <f t="shared" si="21"/>
        <v xml:space="preserve"> </v>
      </c>
      <c r="J457" s="673" t="str">
        <f t="shared" si="22"/>
        <v xml:space="preserve"> </v>
      </c>
      <c r="K457" s="674" t="str">
        <f t="shared" si="23"/>
        <v xml:space="preserve"> </v>
      </c>
    </row>
    <row r="458" spans="1:11" ht="21" customHeight="1">
      <c r="A458" s="1013"/>
      <c r="B458" s="772"/>
      <c r="C458" s="671"/>
      <c r="D458" s="773"/>
      <c r="E458" s="774"/>
      <c r="F458" s="173"/>
      <c r="G458" s="672"/>
      <c r="H458" s="1011" t="str">
        <f t="shared" si="24"/>
        <v xml:space="preserve"> </v>
      </c>
      <c r="I458" s="172" t="str">
        <f t="shared" si="21"/>
        <v xml:space="preserve"> </v>
      </c>
      <c r="J458" s="673" t="str">
        <f t="shared" si="22"/>
        <v xml:space="preserve"> </v>
      </c>
      <c r="K458" s="674" t="str">
        <f t="shared" si="23"/>
        <v xml:space="preserve"> </v>
      </c>
    </row>
    <row r="459" spans="1:11" ht="21" customHeight="1">
      <c r="A459" s="1013"/>
      <c r="B459" s="772"/>
      <c r="C459" s="671"/>
      <c r="D459" s="773"/>
      <c r="E459" s="774"/>
      <c r="F459" s="173"/>
      <c r="G459" s="672"/>
      <c r="H459" s="1011" t="str">
        <f t="shared" si="24"/>
        <v xml:space="preserve"> </v>
      </c>
      <c r="I459" s="172" t="str">
        <f t="shared" si="21"/>
        <v xml:space="preserve"> </v>
      </c>
      <c r="J459" s="673" t="str">
        <f t="shared" si="22"/>
        <v xml:space="preserve"> </v>
      </c>
      <c r="K459" s="674" t="str">
        <f t="shared" si="23"/>
        <v xml:space="preserve"> </v>
      </c>
    </row>
    <row r="460" spans="1:11" ht="21" customHeight="1">
      <c r="A460" s="1013"/>
      <c r="B460" s="772"/>
      <c r="C460" s="671"/>
      <c r="D460" s="773"/>
      <c r="E460" s="774"/>
      <c r="F460" s="173"/>
      <c r="G460" s="672"/>
      <c r="H460" s="1011" t="str">
        <f t="shared" si="24"/>
        <v xml:space="preserve"> </v>
      </c>
      <c r="I460" s="172" t="str">
        <f t="shared" si="21"/>
        <v xml:space="preserve"> </v>
      </c>
      <c r="J460" s="673" t="str">
        <f t="shared" si="22"/>
        <v xml:space="preserve"> </v>
      </c>
      <c r="K460" s="674" t="str">
        <f t="shared" si="23"/>
        <v xml:space="preserve"> </v>
      </c>
    </row>
    <row r="461" spans="1:11" ht="21" customHeight="1">
      <c r="A461" s="1013"/>
      <c r="B461" s="772"/>
      <c r="C461" s="671"/>
      <c r="D461" s="773"/>
      <c r="E461" s="774"/>
      <c r="F461" s="173"/>
      <c r="G461" s="672"/>
      <c r="H461" s="1011" t="str">
        <f t="shared" si="24"/>
        <v xml:space="preserve"> </v>
      </c>
      <c r="I461" s="172" t="str">
        <f t="shared" si="21"/>
        <v xml:space="preserve"> </v>
      </c>
      <c r="J461" s="673" t="str">
        <f t="shared" si="22"/>
        <v xml:space="preserve"> </v>
      </c>
      <c r="K461" s="674" t="str">
        <f t="shared" si="23"/>
        <v xml:space="preserve"> </v>
      </c>
    </row>
    <row r="462" spans="1:11" ht="21" customHeight="1">
      <c r="A462" s="1013"/>
      <c r="B462" s="772"/>
      <c r="C462" s="671"/>
      <c r="D462" s="773"/>
      <c r="E462" s="774"/>
      <c r="F462" s="173"/>
      <c r="G462" s="672"/>
      <c r="H462" s="1011" t="str">
        <f t="shared" si="24"/>
        <v xml:space="preserve"> </v>
      </c>
      <c r="I462" s="172" t="str">
        <f t="shared" si="21"/>
        <v xml:space="preserve"> </v>
      </c>
      <c r="J462" s="673" t="str">
        <f t="shared" si="22"/>
        <v xml:space="preserve"> </v>
      </c>
      <c r="K462" s="674" t="str">
        <f t="shared" si="23"/>
        <v xml:space="preserve"> </v>
      </c>
    </row>
    <row r="463" spans="1:11" ht="21" customHeight="1">
      <c r="A463" s="1013"/>
      <c r="B463" s="772"/>
      <c r="C463" s="671"/>
      <c r="D463" s="773"/>
      <c r="E463" s="774"/>
      <c r="F463" s="173"/>
      <c r="G463" s="672"/>
      <c r="H463" s="1011" t="str">
        <f t="shared" si="24"/>
        <v xml:space="preserve"> </v>
      </c>
      <c r="I463" s="172" t="str">
        <f t="shared" si="21"/>
        <v xml:space="preserve"> </v>
      </c>
      <c r="J463" s="673" t="str">
        <f t="shared" si="22"/>
        <v xml:space="preserve"> </v>
      </c>
      <c r="K463" s="674" t="str">
        <f t="shared" si="23"/>
        <v xml:space="preserve"> </v>
      </c>
    </row>
    <row r="464" spans="1:11" ht="21" customHeight="1">
      <c r="A464" s="1013"/>
      <c r="B464" s="772"/>
      <c r="C464" s="671"/>
      <c r="D464" s="773"/>
      <c r="E464" s="774"/>
      <c r="F464" s="173"/>
      <c r="G464" s="672"/>
      <c r="H464" s="1011" t="str">
        <f t="shared" si="24"/>
        <v xml:space="preserve"> </v>
      </c>
      <c r="I464" s="172" t="str">
        <f t="shared" si="21"/>
        <v xml:space="preserve"> </v>
      </c>
      <c r="J464" s="673" t="str">
        <f t="shared" si="22"/>
        <v xml:space="preserve"> </v>
      </c>
      <c r="K464" s="674" t="str">
        <f t="shared" si="23"/>
        <v xml:space="preserve"> </v>
      </c>
    </row>
    <row r="465" spans="1:11" ht="21" customHeight="1">
      <c r="A465" s="1013"/>
      <c r="B465" s="772"/>
      <c r="C465" s="671"/>
      <c r="D465" s="773"/>
      <c r="E465" s="774"/>
      <c r="F465" s="173"/>
      <c r="G465" s="672"/>
      <c r="H465" s="1011" t="str">
        <f t="shared" si="24"/>
        <v xml:space="preserve"> </v>
      </c>
      <c r="I465" s="172" t="str">
        <f t="shared" si="21"/>
        <v xml:space="preserve"> </v>
      </c>
      <c r="J465" s="673" t="str">
        <f t="shared" si="22"/>
        <v xml:space="preserve"> </v>
      </c>
      <c r="K465" s="674" t="str">
        <f t="shared" si="23"/>
        <v xml:space="preserve"> </v>
      </c>
    </row>
    <row r="466" spans="1:11" ht="21" customHeight="1">
      <c r="A466" s="1013"/>
      <c r="B466" s="772"/>
      <c r="C466" s="671"/>
      <c r="D466" s="773"/>
      <c r="E466" s="774"/>
      <c r="F466" s="173"/>
      <c r="G466" s="672"/>
      <c r="H466" s="1011" t="str">
        <f t="shared" si="24"/>
        <v xml:space="preserve"> </v>
      </c>
      <c r="I466" s="172" t="str">
        <f t="shared" si="21"/>
        <v xml:space="preserve"> </v>
      </c>
      <c r="J466" s="673" t="str">
        <f t="shared" si="22"/>
        <v xml:space="preserve"> </v>
      </c>
      <c r="K466" s="674" t="str">
        <f t="shared" si="23"/>
        <v xml:space="preserve"> </v>
      </c>
    </row>
    <row r="467" spans="1:11" ht="21" customHeight="1">
      <c r="A467" s="1013"/>
      <c r="B467" s="772"/>
      <c r="C467" s="671"/>
      <c r="D467" s="773"/>
      <c r="E467" s="774"/>
      <c r="F467" s="173"/>
      <c r="G467" s="672"/>
      <c r="H467" s="1011" t="str">
        <f t="shared" si="24"/>
        <v xml:space="preserve"> </v>
      </c>
      <c r="I467" s="172" t="str">
        <f t="shared" si="21"/>
        <v xml:space="preserve"> </v>
      </c>
      <c r="J467" s="673" t="str">
        <f t="shared" si="22"/>
        <v xml:space="preserve"> </v>
      </c>
      <c r="K467" s="674" t="str">
        <f t="shared" si="23"/>
        <v xml:space="preserve"> </v>
      </c>
    </row>
    <row r="468" spans="1:11" ht="21" customHeight="1">
      <c r="A468" s="1013"/>
      <c r="B468" s="772"/>
      <c r="C468" s="671"/>
      <c r="D468" s="773"/>
      <c r="E468" s="774"/>
      <c r="F468" s="173"/>
      <c r="G468" s="672"/>
      <c r="H468" s="1011" t="str">
        <f t="shared" si="24"/>
        <v xml:space="preserve"> </v>
      </c>
      <c r="I468" s="172" t="str">
        <f t="shared" si="21"/>
        <v xml:space="preserve"> </v>
      </c>
      <c r="J468" s="673" t="str">
        <f t="shared" si="22"/>
        <v xml:space="preserve"> </v>
      </c>
      <c r="K468" s="674" t="str">
        <f t="shared" si="23"/>
        <v xml:space="preserve"> </v>
      </c>
    </row>
    <row r="469" spans="1:11" ht="21" customHeight="1">
      <c r="A469" s="1013"/>
      <c r="B469" s="772"/>
      <c r="C469" s="671"/>
      <c r="D469" s="773"/>
      <c r="E469" s="774"/>
      <c r="F469" s="173"/>
      <c r="G469" s="672"/>
      <c r="H469" s="1011" t="str">
        <f t="shared" si="24"/>
        <v xml:space="preserve"> </v>
      </c>
      <c r="I469" s="172" t="str">
        <f t="shared" si="21"/>
        <v xml:space="preserve"> </v>
      </c>
      <c r="J469" s="673" t="str">
        <f t="shared" si="22"/>
        <v xml:space="preserve"> </v>
      </c>
      <c r="K469" s="674" t="str">
        <f t="shared" si="23"/>
        <v xml:space="preserve"> </v>
      </c>
    </row>
    <row r="470" spans="1:11" ht="21" customHeight="1">
      <c r="A470" s="1013"/>
      <c r="B470" s="772"/>
      <c r="C470" s="671"/>
      <c r="D470" s="773"/>
      <c r="E470" s="774"/>
      <c r="F470" s="173"/>
      <c r="G470" s="672"/>
      <c r="H470" s="1011" t="str">
        <f t="shared" si="24"/>
        <v xml:space="preserve"> </v>
      </c>
      <c r="I470" s="172" t="str">
        <f t="shared" si="21"/>
        <v xml:space="preserve"> </v>
      </c>
      <c r="J470" s="673" t="str">
        <f t="shared" si="22"/>
        <v xml:space="preserve"> </v>
      </c>
      <c r="K470" s="674" t="str">
        <f t="shared" si="23"/>
        <v xml:space="preserve"> </v>
      </c>
    </row>
    <row r="471" spans="1:11" ht="21" customHeight="1">
      <c r="A471" s="1013"/>
      <c r="B471" s="772"/>
      <c r="C471" s="671"/>
      <c r="D471" s="773"/>
      <c r="E471" s="774"/>
      <c r="F471" s="173"/>
      <c r="G471" s="672"/>
      <c r="H471" s="1011" t="str">
        <f t="shared" si="24"/>
        <v xml:space="preserve"> </v>
      </c>
      <c r="I471" s="172" t="str">
        <f t="shared" si="21"/>
        <v xml:space="preserve"> </v>
      </c>
      <c r="J471" s="673" t="str">
        <f t="shared" si="22"/>
        <v xml:space="preserve"> </v>
      </c>
      <c r="K471" s="674" t="str">
        <f t="shared" si="23"/>
        <v xml:space="preserve"> </v>
      </c>
    </row>
    <row r="472" spans="1:11" ht="21" customHeight="1">
      <c r="A472" s="1013"/>
      <c r="B472" s="772"/>
      <c r="C472" s="671"/>
      <c r="D472" s="773"/>
      <c r="E472" s="774"/>
      <c r="F472" s="173"/>
      <c r="G472" s="672"/>
      <c r="H472" s="1011" t="str">
        <f t="shared" si="24"/>
        <v xml:space="preserve"> </v>
      </c>
      <c r="I472" s="172" t="str">
        <f t="shared" si="21"/>
        <v xml:space="preserve"> </v>
      </c>
      <c r="J472" s="673" t="str">
        <f t="shared" si="22"/>
        <v xml:space="preserve"> </v>
      </c>
      <c r="K472" s="674" t="str">
        <f t="shared" si="23"/>
        <v xml:space="preserve"> </v>
      </c>
    </row>
    <row r="473" spans="1:11" ht="21" customHeight="1">
      <c r="A473" s="1013"/>
      <c r="B473" s="772"/>
      <c r="C473" s="671"/>
      <c r="D473" s="773"/>
      <c r="E473" s="774"/>
      <c r="F473" s="173"/>
      <c r="G473" s="672"/>
      <c r="H473" s="1011" t="str">
        <f t="shared" si="24"/>
        <v xml:space="preserve"> </v>
      </c>
      <c r="I473" s="172" t="str">
        <f t="shared" si="21"/>
        <v xml:space="preserve"> </v>
      </c>
      <c r="J473" s="673" t="str">
        <f t="shared" si="22"/>
        <v xml:space="preserve"> </v>
      </c>
      <c r="K473" s="674" t="str">
        <f t="shared" si="23"/>
        <v xml:space="preserve"> </v>
      </c>
    </row>
    <row r="474" spans="1:11" ht="21" customHeight="1">
      <c r="A474" s="1013"/>
      <c r="B474" s="772"/>
      <c r="C474" s="671"/>
      <c r="D474" s="773"/>
      <c r="E474" s="774"/>
      <c r="F474" s="173"/>
      <c r="G474" s="672"/>
      <c r="H474" s="1011" t="str">
        <f t="shared" si="24"/>
        <v xml:space="preserve"> </v>
      </c>
      <c r="I474" s="172" t="str">
        <f t="shared" si="21"/>
        <v xml:space="preserve"> </v>
      </c>
      <c r="J474" s="673" t="str">
        <f t="shared" si="22"/>
        <v xml:space="preserve"> </v>
      </c>
      <c r="K474" s="674" t="str">
        <f t="shared" si="23"/>
        <v xml:space="preserve"> </v>
      </c>
    </row>
    <row r="475" spans="1:11" ht="21" customHeight="1">
      <c r="A475" s="1013"/>
      <c r="B475" s="772"/>
      <c r="C475" s="671"/>
      <c r="D475" s="773"/>
      <c r="E475" s="774"/>
      <c r="F475" s="173"/>
      <c r="G475" s="672"/>
      <c r="H475" s="1011" t="str">
        <f t="shared" si="24"/>
        <v xml:space="preserve"> </v>
      </c>
      <c r="I475" s="172" t="str">
        <f t="shared" si="21"/>
        <v xml:space="preserve"> </v>
      </c>
      <c r="J475" s="673" t="str">
        <f t="shared" si="22"/>
        <v xml:space="preserve"> </v>
      </c>
      <c r="K475" s="674" t="str">
        <f t="shared" si="23"/>
        <v xml:space="preserve"> </v>
      </c>
    </row>
    <row r="476" spans="1:11" ht="21" customHeight="1">
      <c r="A476" s="1013"/>
      <c r="B476" s="772"/>
      <c r="C476" s="671"/>
      <c r="D476" s="773"/>
      <c r="E476" s="774"/>
      <c r="F476" s="173"/>
      <c r="G476" s="672"/>
      <c r="H476" s="1011" t="str">
        <f t="shared" si="24"/>
        <v xml:space="preserve"> </v>
      </c>
      <c r="I476" s="172" t="str">
        <f t="shared" si="21"/>
        <v xml:space="preserve"> </v>
      </c>
      <c r="J476" s="673" t="str">
        <f t="shared" si="22"/>
        <v xml:space="preserve"> </v>
      </c>
      <c r="K476" s="674" t="str">
        <f t="shared" si="23"/>
        <v xml:space="preserve"> </v>
      </c>
    </row>
    <row r="477" spans="1:11" ht="21" customHeight="1">
      <c r="A477" s="1013"/>
      <c r="B477" s="772"/>
      <c r="C477" s="671"/>
      <c r="D477" s="773"/>
      <c r="E477" s="774"/>
      <c r="F477" s="173"/>
      <c r="G477" s="672"/>
      <c r="H477" s="1011" t="str">
        <f t="shared" si="24"/>
        <v xml:space="preserve"> </v>
      </c>
      <c r="I477" s="172" t="str">
        <f t="shared" si="21"/>
        <v xml:space="preserve"> </v>
      </c>
      <c r="J477" s="673" t="str">
        <f t="shared" si="22"/>
        <v xml:space="preserve"> </v>
      </c>
      <c r="K477" s="674" t="str">
        <f t="shared" si="23"/>
        <v xml:space="preserve"> </v>
      </c>
    </row>
    <row r="478" spans="1:11" ht="21" customHeight="1">
      <c r="A478" s="1013"/>
      <c r="B478" s="772"/>
      <c r="C478" s="671"/>
      <c r="D478" s="773"/>
      <c r="E478" s="774"/>
      <c r="F478" s="173"/>
      <c r="G478" s="672"/>
      <c r="H478" s="1011" t="str">
        <f t="shared" si="24"/>
        <v xml:space="preserve"> </v>
      </c>
      <c r="I478" s="172" t="str">
        <f t="shared" si="21"/>
        <v xml:space="preserve"> </v>
      </c>
      <c r="J478" s="673" t="str">
        <f t="shared" si="22"/>
        <v xml:space="preserve"> </v>
      </c>
      <c r="K478" s="674" t="str">
        <f t="shared" si="23"/>
        <v xml:space="preserve"> </v>
      </c>
    </row>
    <row r="479" spans="1:11" ht="21" customHeight="1">
      <c r="A479" s="1013"/>
      <c r="B479" s="772"/>
      <c r="C479" s="671"/>
      <c r="D479" s="773"/>
      <c r="E479" s="774"/>
      <c r="F479" s="173"/>
      <c r="G479" s="672"/>
      <c r="H479" s="1011" t="str">
        <f t="shared" si="24"/>
        <v xml:space="preserve"> </v>
      </c>
      <c r="I479" s="172" t="str">
        <f t="shared" ref="I479:I542" si="25">IF($D479="Заплыв №","РЕЗУЛЬТАТ"," ")</f>
        <v xml:space="preserve"> </v>
      </c>
      <c r="J479" s="673" t="str">
        <f t="shared" ref="J479:J542" si="26">IF($D479="Заплыв №","ФИНИШ"," ")</f>
        <v xml:space="preserve"> </v>
      </c>
      <c r="K479" s="674" t="str">
        <f t="shared" ref="K479:K542" si="27">IF($D479="Заплыв №","ПРИМ."," ")</f>
        <v xml:space="preserve"> </v>
      </c>
    </row>
    <row r="480" spans="1:11" ht="21" customHeight="1">
      <c r="A480" s="1013"/>
      <c r="B480" s="772"/>
      <c r="C480" s="671"/>
      <c r="D480" s="773"/>
      <c r="E480" s="774"/>
      <c r="F480" s="173"/>
      <c r="G480" s="672"/>
      <c r="H480" s="1011" t="str">
        <f t="shared" si="24"/>
        <v xml:space="preserve"> </v>
      </c>
      <c r="I480" s="172" t="str">
        <f t="shared" si="25"/>
        <v xml:space="preserve"> </v>
      </c>
      <c r="J480" s="673" t="str">
        <f t="shared" si="26"/>
        <v xml:space="preserve"> </v>
      </c>
      <c r="K480" s="674" t="str">
        <f t="shared" si="27"/>
        <v xml:space="preserve"> </v>
      </c>
    </row>
    <row r="481" spans="1:11" ht="21" customHeight="1">
      <c r="A481" s="1013"/>
      <c r="B481" s="772"/>
      <c r="C481" s="671"/>
      <c r="D481" s="773"/>
      <c r="E481" s="774"/>
      <c r="F481" s="173"/>
      <c r="G481" s="672"/>
      <c r="H481" s="1011" t="str">
        <f t="shared" si="24"/>
        <v xml:space="preserve"> </v>
      </c>
      <c r="I481" s="172" t="str">
        <f t="shared" si="25"/>
        <v xml:space="preserve"> </v>
      </c>
      <c r="J481" s="673" t="str">
        <f t="shared" si="26"/>
        <v xml:space="preserve"> </v>
      </c>
      <c r="K481" s="674" t="str">
        <f t="shared" si="27"/>
        <v xml:space="preserve"> </v>
      </c>
    </row>
    <row r="482" spans="1:11" ht="21" customHeight="1">
      <c r="A482" s="1013"/>
      <c r="B482" s="772"/>
      <c r="C482" s="671"/>
      <c r="D482" s="773"/>
      <c r="E482" s="774"/>
      <c r="F482" s="173"/>
      <c r="G482" s="672"/>
      <c r="H482" s="1011" t="str">
        <f t="shared" si="24"/>
        <v xml:space="preserve"> </v>
      </c>
      <c r="I482" s="172" t="str">
        <f t="shared" si="25"/>
        <v xml:space="preserve"> </v>
      </c>
      <c r="J482" s="673" t="str">
        <f t="shared" si="26"/>
        <v xml:space="preserve"> </v>
      </c>
      <c r="K482" s="674" t="str">
        <f t="shared" si="27"/>
        <v xml:space="preserve"> </v>
      </c>
    </row>
    <row r="483" spans="1:11" ht="21" customHeight="1">
      <c r="A483" s="1013"/>
      <c r="B483" s="772"/>
      <c r="C483" s="671"/>
      <c r="D483" s="773"/>
      <c r="E483" s="774"/>
      <c r="F483" s="173"/>
      <c r="G483" s="672"/>
      <c r="H483" s="1011" t="str">
        <f t="shared" si="24"/>
        <v xml:space="preserve"> </v>
      </c>
      <c r="I483" s="172" t="str">
        <f t="shared" si="25"/>
        <v xml:space="preserve"> </v>
      </c>
      <c r="J483" s="673" t="str">
        <f t="shared" si="26"/>
        <v xml:space="preserve"> </v>
      </c>
      <c r="K483" s="674" t="str">
        <f t="shared" si="27"/>
        <v xml:space="preserve"> </v>
      </c>
    </row>
    <row r="484" spans="1:11" ht="21" customHeight="1">
      <c r="A484" s="1013"/>
      <c r="B484" s="772"/>
      <c r="C484" s="671"/>
      <c r="D484" s="773"/>
      <c r="E484" s="774"/>
      <c r="F484" s="173"/>
      <c r="G484" s="672"/>
      <c r="H484" s="1011" t="str">
        <f t="shared" si="24"/>
        <v xml:space="preserve"> </v>
      </c>
      <c r="I484" s="172" t="str">
        <f t="shared" si="25"/>
        <v xml:space="preserve"> </v>
      </c>
      <c r="J484" s="673" t="str">
        <f t="shared" si="26"/>
        <v xml:space="preserve"> </v>
      </c>
      <c r="K484" s="674" t="str">
        <f t="shared" si="27"/>
        <v xml:space="preserve"> </v>
      </c>
    </row>
    <row r="485" spans="1:11" ht="21" customHeight="1">
      <c r="A485" s="1013"/>
      <c r="B485" s="772"/>
      <c r="C485" s="671"/>
      <c r="D485" s="773"/>
      <c r="E485" s="774"/>
      <c r="F485" s="173"/>
      <c r="G485" s="672"/>
      <c r="H485" s="1011" t="str">
        <f t="shared" si="24"/>
        <v xml:space="preserve"> </v>
      </c>
      <c r="I485" s="172" t="str">
        <f t="shared" si="25"/>
        <v xml:space="preserve"> </v>
      </c>
      <c r="J485" s="673" t="str">
        <f t="shared" si="26"/>
        <v xml:space="preserve"> </v>
      </c>
      <c r="K485" s="674" t="str">
        <f t="shared" si="27"/>
        <v xml:space="preserve"> </v>
      </c>
    </row>
    <row r="486" spans="1:11" ht="21" customHeight="1">
      <c r="A486" s="1013"/>
      <c r="B486" s="772"/>
      <c r="C486" s="671"/>
      <c r="D486" s="773"/>
      <c r="E486" s="774"/>
      <c r="F486" s="173"/>
      <c r="G486" s="672"/>
      <c r="H486" s="1011" t="str">
        <f t="shared" si="24"/>
        <v xml:space="preserve"> </v>
      </c>
      <c r="I486" s="172" t="str">
        <f t="shared" si="25"/>
        <v xml:space="preserve"> </v>
      </c>
      <c r="J486" s="673" t="str">
        <f t="shared" si="26"/>
        <v xml:space="preserve"> </v>
      </c>
      <c r="K486" s="674" t="str">
        <f t="shared" si="27"/>
        <v xml:space="preserve"> </v>
      </c>
    </row>
    <row r="487" spans="1:11" ht="21" customHeight="1">
      <c r="A487" s="1013"/>
      <c r="B487" s="772"/>
      <c r="C487" s="671"/>
      <c r="D487" s="773"/>
      <c r="E487" s="774"/>
      <c r="F487" s="173"/>
      <c r="G487" s="672"/>
      <c r="H487" s="1011" t="str">
        <f t="shared" si="24"/>
        <v xml:space="preserve"> </v>
      </c>
      <c r="I487" s="172" t="str">
        <f t="shared" si="25"/>
        <v xml:space="preserve"> </v>
      </c>
      <c r="J487" s="673" t="str">
        <f t="shared" si="26"/>
        <v xml:space="preserve"> </v>
      </c>
      <c r="K487" s="674" t="str">
        <f t="shared" si="27"/>
        <v xml:space="preserve"> </v>
      </c>
    </row>
    <row r="488" spans="1:11" ht="21" customHeight="1">
      <c r="A488" s="1013"/>
      <c r="B488" s="772"/>
      <c r="C488" s="671"/>
      <c r="D488" s="773"/>
      <c r="E488" s="774"/>
      <c r="F488" s="173"/>
      <c r="G488" s="672"/>
      <c r="H488" s="1011" t="str">
        <f t="shared" si="24"/>
        <v xml:space="preserve"> </v>
      </c>
      <c r="I488" s="172" t="str">
        <f t="shared" si="25"/>
        <v xml:space="preserve"> </v>
      </c>
      <c r="J488" s="673" t="str">
        <f t="shared" si="26"/>
        <v xml:space="preserve"> </v>
      </c>
      <c r="K488" s="674" t="str">
        <f t="shared" si="27"/>
        <v xml:space="preserve"> </v>
      </c>
    </row>
    <row r="489" spans="1:11" ht="21" customHeight="1">
      <c r="A489" s="1013"/>
      <c r="B489" s="772"/>
      <c r="C489" s="671"/>
      <c r="D489" s="773"/>
      <c r="E489" s="774"/>
      <c r="F489" s="173"/>
      <c r="G489" s="672"/>
      <c r="H489" s="1011" t="str">
        <f t="shared" si="24"/>
        <v xml:space="preserve"> </v>
      </c>
      <c r="I489" s="172" t="str">
        <f t="shared" si="25"/>
        <v xml:space="preserve"> </v>
      </c>
      <c r="J489" s="673" t="str">
        <f t="shared" si="26"/>
        <v xml:space="preserve"> </v>
      </c>
      <c r="K489" s="674" t="str">
        <f t="shared" si="27"/>
        <v xml:space="preserve"> </v>
      </c>
    </row>
    <row r="490" spans="1:11" ht="21" customHeight="1">
      <c r="A490" s="1013"/>
      <c r="B490" s="772"/>
      <c r="C490" s="671"/>
      <c r="D490" s="773"/>
      <c r="E490" s="774"/>
      <c r="F490" s="173"/>
      <c r="G490" s="672"/>
      <c r="H490" s="1011" t="str">
        <f t="shared" si="24"/>
        <v xml:space="preserve"> </v>
      </c>
      <c r="I490" s="172" t="str">
        <f t="shared" si="25"/>
        <v xml:space="preserve"> </v>
      </c>
      <c r="J490" s="673" t="str">
        <f t="shared" si="26"/>
        <v xml:space="preserve"> </v>
      </c>
      <c r="K490" s="674" t="str">
        <f t="shared" si="27"/>
        <v xml:space="preserve"> </v>
      </c>
    </row>
    <row r="491" spans="1:11" ht="21" customHeight="1">
      <c r="A491" s="1013"/>
      <c r="B491" s="772"/>
      <c r="C491" s="671"/>
      <c r="D491" s="773"/>
      <c r="E491" s="774"/>
      <c r="F491" s="173"/>
      <c r="G491" s="672"/>
      <c r="H491" s="1011" t="str">
        <f t="shared" si="24"/>
        <v xml:space="preserve"> </v>
      </c>
      <c r="I491" s="172" t="str">
        <f t="shared" si="25"/>
        <v xml:space="preserve"> </v>
      </c>
      <c r="J491" s="673" t="str">
        <f t="shared" si="26"/>
        <v xml:space="preserve"> </v>
      </c>
      <c r="K491" s="674" t="str">
        <f t="shared" si="27"/>
        <v xml:space="preserve"> </v>
      </c>
    </row>
    <row r="492" spans="1:11" ht="21" customHeight="1">
      <c r="A492" s="1013"/>
      <c r="B492" s="772"/>
      <c r="C492" s="671"/>
      <c r="D492" s="773"/>
      <c r="E492" s="774"/>
      <c r="F492" s="173"/>
      <c r="G492" s="672"/>
      <c r="H492" s="1011" t="str">
        <f t="shared" si="24"/>
        <v xml:space="preserve"> </v>
      </c>
      <c r="I492" s="172" t="str">
        <f t="shared" si="25"/>
        <v xml:space="preserve"> </v>
      </c>
      <c r="J492" s="673" t="str">
        <f t="shared" si="26"/>
        <v xml:space="preserve"> </v>
      </c>
      <c r="K492" s="674" t="str">
        <f t="shared" si="27"/>
        <v xml:space="preserve"> </v>
      </c>
    </row>
    <row r="493" spans="1:11" ht="21" customHeight="1">
      <c r="A493" s="1013"/>
      <c r="B493" s="772"/>
      <c r="C493" s="671"/>
      <c r="D493" s="773"/>
      <c r="E493" s="774"/>
      <c r="F493" s="173"/>
      <c r="G493" s="672"/>
      <c r="H493" s="1011" t="str">
        <f t="shared" si="24"/>
        <v xml:space="preserve"> </v>
      </c>
      <c r="I493" s="172" t="str">
        <f t="shared" si="25"/>
        <v xml:space="preserve"> </v>
      </c>
      <c r="J493" s="673" t="str">
        <f t="shared" si="26"/>
        <v xml:space="preserve"> </v>
      </c>
      <c r="K493" s="674" t="str">
        <f t="shared" si="27"/>
        <v xml:space="preserve"> </v>
      </c>
    </row>
    <row r="494" spans="1:11" ht="21" customHeight="1">
      <c r="A494" s="1013"/>
      <c r="B494" s="772"/>
      <c r="C494" s="671"/>
      <c r="D494" s="773"/>
      <c r="E494" s="774"/>
      <c r="F494" s="173"/>
      <c r="G494" s="672"/>
      <c r="H494" s="1011" t="str">
        <f t="shared" si="24"/>
        <v xml:space="preserve"> </v>
      </c>
      <c r="I494" s="172" t="str">
        <f t="shared" si="25"/>
        <v xml:space="preserve"> </v>
      </c>
      <c r="J494" s="673" t="str">
        <f t="shared" si="26"/>
        <v xml:space="preserve"> </v>
      </c>
      <c r="K494" s="674" t="str">
        <f t="shared" si="27"/>
        <v xml:space="preserve"> </v>
      </c>
    </row>
    <row r="495" spans="1:11" ht="21" customHeight="1">
      <c r="A495" s="1013"/>
      <c r="B495" s="772"/>
      <c r="C495" s="671"/>
      <c r="D495" s="773"/>
      <c r="E495" s="774"/>
      <c r="F495" s="173"/>
      <c r="G495" s="672"/>
      <c r="H495" s="1011" t="str">
        <f t="shared" si="24"/>
        <v xml:space="preserve"> </v>
      </c>
      <c r="I495" s="172" t="str">
        <f t="shared" si="25"/>
        <v xml:space="preserve"> </v>
      </c>
      <c r="J495" s="673" t="str">
        <f t="shared" si="26"/>
        <v xml:space="preserve"> </v>
      </c>
      <c r="K495" s="674" t="str">
        <f t="shared" si="27"/>
        <v xml:space="preserve"> </v>
      </c>
    </row>
    <row r="496" spans="1:11" ht="21" customHeight="1">
      <c r="A496" s="1013"/>
      <c r="B496" s="772"/>
      <c r="C496" s="671"/>
      <c r="D496" s="773"/>
      <c r="E496" s="774"/>
      <c r="F496" s="173"/>
      <c r="G496" s="672"/>
      <c r="H496" s="1011" t="str">
        <f t="shared" si="24"/>
        <v xml:space="preserve"> </v>
      </c>
      <c r="I496" s="172" t="str">
        <f t="shared" si="25"/>
        <v xml:space="preserve"> </v>
      </c>
      <c r="J496" s="673" t="str">
        <f t="shared" si="26"/>
        <v xml:space="preserve"> </v>
      </c>
      <c r="K496" s="674" t="str">
        <f t="shared" si="27"/>
        <v xml:space="preserve"> </v>
      </c>
    </row>
    <row r="497" spans="1:11" ht="21" customHeight="1">
      <c r="A497" s="1013"/>
      <c r="B497" s="772"/>
      <c r="C497" s="671"/>
      <c r="D497" s="773"/>
      <c r="E497" s="774"/>
      <c r="F497" s="173"/>
      <c r="G497" s="672"/>
      <c r="H497" s="1011" t="str">
        <f t="shared" si="24"/>
        <v xml:space="preserve"> </v>
      </c>
      <c r="I497" s="172" t="str">
        <f t="shared" si="25"/>
        <v xml:space="preserve"> </v>
      </c>
      <c r="J497" s="673" t="str">
        <f t="shared" si="26"/>
        <v xml:space="preserve"> </v>
      </c>
      <c r="K497" s="674" t="str">
        <f t="shared" si="27"/>
        <v xml:space="preserve"> </v>
      </c>
    </row>
    <row r="498" spans="1:11" ht="21" customHeight="1">
      <c r="A498" s="1013"/>
      <c r="B498" s="772"/>
      <c r="C498" s="671"/>
      <c r="D498" s="773"/>
      <c r="E498" s="774"/>
      <c r="F498" s="173"/>
      <c r="G498" s="672"/>
      <c r="H498" s="1011" t="str">
        <f t="shared" si="24"/>
        <v xml:space="preserve"> </v>
      </c>
      <c r="I498" s="172" t="str">
        <f t="shared" si="25"/>
        <v xml:space="preserve"> </v>
      </c>
      <c r="J498" s="673" t="str">
        <f t="shared" si="26"/>
        <v xml:space="preserve"> </v>
      </c>
      <c r="K498" s="674" t="str">
        <f t="shared" si="27"/>
        <v xml:space="preserve"> </v>
      </c>
    </row>
    <row r="499" spans="1:11" ht="21" customHeight="1">
      <c r="A499" s="1013"/>
      <c r="B499" s="772"/>
      <c r="C499" s="671"/>
      <c r="D499" s="773"/>
      <c r="E499" s="774"/>
      <c r="F499" s="173"/>
      <c r="G499" s="672"/>
      <c r="H499" s="1011" t="str">
        <f t="shared" si="24"/>
        <v xml:space="preserve"> </v>
      </c>
      <c r="I499" s="172" t="str">
        <f t="shared" si="25"/>
        <v xml:space="preserve"> </v>
      </c>
      <c r="J499" s="673" t="str">
        <f t="shared" si="26"/>
        <v xml:space="preserve"> </v>
      </c>
      <c r="K499" s="674" t="str">
        <f t="shared" si="27"/>
        <v xml:space="preserve"> </v>
      </c>
    </row>
    <row r="500" spans="1:11" ht="21" customHeight="1">
      <c r="A500" s="1013"/>
      <c r="B500" s="772"/>
      <c r="C500" s="671"/>
      <c r="D500" s="773"/>
      <c r="E500" s="774"/>
      <c r="F500" s="173"/>
      <c r="G500" s="672"/>
      <c r="H500" s="1011" t="str">
        <f t="shared" si="24"/>
        <v xml:space="preserve"> </v>
      </c>
      <c r="I500" s="172" t="str">
        <f t="shared" si="25"/>
        <v xml:space="preserve"> </v>
      </c>
      <c r="J500" s="673" t="str">
        <f t="shared" si="26"/>
        <v xml:space="preserve"> </v>
      </c>
      <c r="K500" s="674" t="str">
        <f t="shared" si="27"/>
        <v xml:space="preserve"> </v>
      </c>
    </row>
    <row r="501" spans="1:11" ht="21" customHeight="1">
      <c r="A501" s="1013"/>
      <c r="B501" s="772"/>
      <c r="C501" s="671"/>
      <c r="D501" s="773"/>
      <c r="E501" s="774"/>
      <c r="F501" s="173"/>
      <c r="G501" s="672"/>
      <c r="H501" s="1011" t="str">
        <f t="shared" si="24"/>
        <v xml:space="preserve"> </v>
      </c>
      <c r="I501" s="172" t="str">
        <f t="shared" si="25"/>
        <v xml:space="preserve"> </v>
      </c>
      <c r="J501" s="673" t="str">
        <f t="shared" si="26"/>
        <v xml:space="preserve"> </v>
      </c>
      <c r="K501" s="674" t="str">
        <f t="shared" si="27"/>
        <v xml:space="preserve"> </v>
      </c>
    </row>
    <row r="502" spans="1:11" ht="21" customHeight="1">
      <c r="A502" s="1013"/>
      <c r="B502" s="772"/>
      <c r="C502" s="671"/>
      <c r="D502" s="773"/>
      <c r="E502" s="774"/>
      <c r="F502" s="173"/>
      <c r="G502" s="672"/>
      <c r="H502" s="1011" t="str">
        <f t="shared" ref="H502:H544" si="28">IF(ISBLANK(A502)," ",A502)</f>
        <v xml:space="preserve"> </v>
      </c>
      <c r="I502" s="172" t="str">
        <f t="shared" si="25"/>
        <v xml:space="preserve"> </v>
      </c>
      <c r="J502" s="673" t="str">
        <f t="shared" si="26"/>
        <v xml:space="preserve"> </v>
      </c>
      <c r="K502" s="674" t="str">
        <f t="shared" si="27"/>
        <v xml:space="preserve"> </v>
      </c>
    </row>
    <row r="503" spans="1:11" ht="21" customHeight="1">
      <c r="A503" s="1013"/>
      <c r="B503" s="772"/>
      <c r="C503" s="671"/>
      <c r="D503" s="773"/>
      <c r="E503" s="774"/>
      <c r="F503" s="173"/>
      <c r="G503" s="672"/>
      <c r="H503" s="1011" t="str">
        <f t="shared" si="28"/>
        <v xml:space="preserve"> </v>
      </c>
      <c r="I503" s="172" t="str">
        <f t="shared" si="25"/>
        <v xml:space="preserve"> </v>
      </c>
      <c r="J503" s="673" t="str">
        <f t="shared" si="26"/>
        <v xml:space="preserve"> </v>
      </c>
      <c r="K503" s="674" t="str">
        <f t="shared" si="27"/>
        <v xml:space="preserve"> </v>
      </c>
    </row>
    <row r="504" spans="1:11" ht="21" customHeight="1">
      <c r="A504" s="1013"/>
      <c r="B504" s="772"/>
      <c r="C504" s="671"/>
      <c r="D504" s="773"/>
      <c r="E504" s="774"/>
      <c r="F504" s="173"/>
      <c r="G504" s="672"/>
      <c r="H504" s="1011" t="str">
        <f t="shared" si="28"/>
        <v xml:space="preserve"> </v>
      </c>
      <c r="I504" s="172" t="str">
        <f t="shared" si="25"/>
        <v xml:space="preserve"> </v>
      </c>
      <c r="J504" s="673" t="str">
        <f t="shared" si="26"/>
        <v xml:space="preserve"> </v>
      </c>
      <c r="K504" s="674" t="str">
        <f t="shared" si="27"/>
        <v xml:space="preserve"> </v>
      </c>
    </row>
    <row r="505" spans="1:11" ht="21" customHeight="1">
      <c r="A505" s="1013"/>
      <c r="B505" s="772"/>
      <c r="C505" s="671"/>
      <c r="D505" s="773"/>
      <c r="E505" s="774"/>
      <c r="F505" s="173"/>
      <c r="G505" s="672"/>
      <c r="H505" s="1011" t="str">
        <f t="shared" si="28"/>
        <v xml:space="preserve"> </v>
      </c>
      <c r="I505" s="172" t="str">
        <f t="shared" si="25"/>
        <v xml:space="preserve"> </v>
      </c>
      <c r="J505" s="673" t="str">
        <f t="shared" si="26"/>
        <v xml:space="preserve"> </v>
      </c>
      <c r="K505" s="674" t="str">
        <f t="shared" si="27"/>
        <v xml:space="preserve"> </v>
      </c>
    </row>
    <row r="506" spans="1:11" ht="21" customHeight="1">
      <c r="A506" s="1013"/>
      <c r="B506" s="772"/>
      <c r="C506" s="671"/>
      <c r="D506" s="773"/>
      <c r="E506" s="774"/>
      <c r="F506" s="173"/>
      <c r="G506" s="672"/>
      <c r="H506" s="1011" t="str">
        <f t="shared" si="28"/>
        <v xml:space="preserve"> </v>
      </c>
      <c r="I506" s="172" t="str">
        <f t="shared" si="25"/>
        <v xml:space="preserve"> </v>
      </c>
      <c r="J506" s="673" t="str">
        <f t="shared" si="26"/>
        <v xml:space="preserve"> </v>
      </c>
      <c r="K506" s="674" t="str">
        <f t="shared" si="27"/>
        <v xml:space="preserve"> </v>
      </c>
    </row>
    <row r="507" spans="1:11" ht="21" customHeight="1">
      <c r="A507" s="1013"/>
      <c r="B507" s="772"/>
      <c r="C507" s="671"/>
      <c r="D507" s="773"/>
      <c r="E507" s="774"/>
      <c r="F507" s="173"/>
      <c r="G507" s="672"/>
      <c r="H507" s="1011" t="str">
        <f t="shared" si="28"/>
        <v xml:space="preserve"> </v>
      </c>
      <c r="I507" s="172" t="str">
        <f t="shared" si="25"/>
        <v xml:space="preserve"> </v>
      </c>
      <c r="J507" s="673" t="str">
        <f t="shared" si="26"/>
        <v xml:space="preserve"> </v>
      </c>
      <c r="K507" s="674" t="str">
        <f t="shared" si="27"/>
        <v xml:space="preserve"> </v>
      </c>
    </row>
    <row r="508" spans="1:11" ht="21" customHeight="1">
      <c r="A508" s="1013"/>
      <c r="B508" s="772"/>
      <c r="C508" s="671"/>
      <c r="D508" s="773"/>
      <c r="E508" s="774"/>
      <c r="F508" s="173"/>
      <c r="G508" s="672"/>
      <c r="H508" s="1011" t="str">
        <f t="shared" si="28"/>
        <v xml:space="preserve"> </v>
      </c>
      <c r="I508" s="172" t="str">
        <f t="shared" si="25"/>
        <v xml:space="preserve"> </v>
      </c>
      <c r="J508" s="673" t="str">
        <f t="shared" si="26"/>
        <v xml:space="preserve"> </v>
      </c>
      <c r="K508" s="674" t="str">
        <f t="shared" si="27"/>
        <v xml:space="preserve"> </v>
      </c>
    </row>
    <row r="509" spans="1:11" ht="21" customHeight="1">
      <c r="A509" s="1013"/>
      <c r="B509" s="772"/>
      <c r="C509" s="671"/>
      <c r="D509" s="773"/>
      <c r="E509" s="774"/>
      <c r="F509" s="173"/>
      <c r="G509" s="672"/>
      <c r="H509" s="1011" t="str">
        <f t="shared" si="28"/>
        <v xml:space="preserve"> </v>
      </c>
      <c r="I509" s="172" t="str">
        <f t="shared" si="25"/>
        <v xml:space="preserve"> </v>
      </c>
      <c r="J509" s="673" t="str">
        <f t="shared" si="26"/>
        <v xml:space="preserve"> </v>
      </c>
      <c r="K509" s="674" t="str">
        <f t="shared" si="27"/>
        <v xml:space="preserve"> </v>
      </c>
    </row>
    <row r="510" spans="1:11" ht="21" customHeight="1">
      <c r="A510" s="1013"/>
      <c r="B510" s="772"/>
      <c r="C510" s="671"/>
      <c r="D510" s="773"/>
      <c r="E510" s="774"/>
      <c r="F510" s="173"/>
      <c r="G510" s="672"/>
      <c r="H510" s="1011" t="str">
        <f t="shared" si="28"/>
        <v xml:space="preserve"> </v>
      </c>
      <c r="I510" s="172" t="str">
        <f t="shared" si="25"/>
        <v xml:space="preserve"> </v>
      </c>
      <c r="J510" s="673" t="str">
        <f t="shared" si="26"/>
        <v xml:space="preserve"> </v>
      </c>
      <c r="K510" s="674" t="str">
        <f t="shared" si="27"/>
        <v xml:space="preserve"> </v>
      </c>
    </row>
    <row r="511" spans="1:11" ht="21" customHeight="1">
      <c r="A511" s="1013"/>
      <c r="B511" s="772"/>
      <c r="C511" s="671"/>
      <c r="D511" s="773"/>
      <c r="E511" s="774"/>
      <c r="F511" s="173"/>
      <c r="G511" s="672"/>
      <c r="H511" s="1011" t="str">
        <f t="shared" si="28"/>
        <v xml:space="preserve"> </v>
      </c>
      <c r="I511" s="172" t="str">
        <f t="shared" si="25"/>
        <v xml:space="preserve"> </v>
      </c>
      <c r="J511" s="673" t="str">
        <f t="shared" si="26"/>
        <v xml:space="preserve"> </v>
      </c>
      <c r="K511" s="674" t="str">
        <f t="shared" si="27"/>
        <v xml:space="preserve"> </v>
      </c>
    </row>
    <row r="512" spans="1:11" ht="21" customHeight="1">
      <c r="A512" s="1013"/>
      <c r="B512" s="772"/>
      <c r="C512" s="671"/>
      <c r="D512" s="773"/>
      <c r="E512" s="774"/>
      <c r="F512" s="173"/>
      <c r="G512" s="672"/>
      <c r="H512" s="1011" t="str">
        <f t="shared" si="28"/>
        <v xml:space="preserve"> </v>
      </c>
      <c r="I512" s="172" t="str">
        <f t="shared" si="25"/>
        <v xml:space="preserve"> </v>
      </c>
      <c r="J512" s="673" t="str">
        <f t="shared" si="26"/>
        <v xml:space="preserve"> </v>
      </c>
      <c r="K512" s="674" t="str">
        <f t="shared" si="27"/>
        <v xml:space="preserve"> </v>
      </c>
    </row>
    <row r="513" spans="1:11" ht="21" customHeight="1">
      <c r="A513" s="1013"/>
      <c r="B513" s="772"/>
      <c r="C513" s="671"/>
      <c r="D513" s="773"/>
      <c r="E513" s="774"/>
      <c r="F513" s="173"/>
      <c r="G513" s="672"/>
      <c r="H513" s="1011" t="str">
        <f t="shared" si="28"/>
        <v xml:space="preserve"> </v>
      </c>
      <c r="I513" s="172" t="str">
        <f t="shared" si="25"/>
        <v xml:space="preserve"> </v>
      </c>
      <c r="J513" s="673" t="str">
        <f t="shared" si="26"/>
        <v xml:space="preserve"> </v>
      </c>
      <c r="K513" s="674" t="str">
        <f t="shared" si="27"/>
        <v xml:space="preserve"> </v>
      </c>
    </row>
    <row r="514" spans="1:11" ht="21" customHeight="1">
      <c r="A514" s="1013"/>
      <c r="B514" s="772"/>
      <c r="C514" s="671"/>
      <c r="D514" s="773"/>
      <c r="E514" s="774"/>
      <c r="F514" s="173"/>
      <c r="G514" s="672"/>
      <c r="H514" s="1011" t="str">
        <f t="shared" si="28"/>
        <v xml:space="preserve"> </v>
      </c>
      <c r="I514" s="172" t="str">
        <f t="shared" si="25"/>
        <v xml:space="preserve"> </v>
      </c>
      <c r="J514" s="673" t="str">
        <f t="shared" si="26"/>
        <v xml:space="preserve"> </v>
      </c>
      <c r="K514" s="674" t="str">
        <f t="shared" si="27"/>
        <v xml:space="preserve"> </v>
      </c>
    </row>
    <row r="515" spans="1:11" ht="21" customHeight="1">
      <c r="A515" s="1013"/>
      <c r="B515" s="772"/>
      <c r="C515" s="671"/>
      <c r="D515" s="773"/>
      <c r="E515" s="774"/>
      <c r="F515" s="173"/>
      <c r="G515" s="672"/>
      <c r="H515" s="1011" t="str">
        <f t="shared" si="28"/>
        <v xml:space="preserve"> </v>
      </c>
      <c r="I515" s="172" t="str">
        <f t="shared" si="25"/>
        <v xml:space="preserve"> </v>
      </c>
      <c r="J515" s="673" t="str">
        <f t="shared" si="26"/>
        <v xml:space="preserve"> </v>
      </c>
      <c r="K515" s="674" t="str">
        <f t="shared" si="27"/>
        <v xml:space="preserve"> </v>
      </c>
    </row>
    <row r="516" spans="1:11" ht="21" customHeight="1">
      <c r="A516" s="1013"/>
      <c r="B516" s="772"/>
      <c r="C516" s="671"/>
      <c r="D516" s="773"/>
      <c r="E516" s="774"/>
      <c r="F516" s="173"/>
      <c r="G516" s="672"/>
      <c r="H516" s="1011" t="str">
        <f t="shared" si="28"/>
        <v xml:space="preserve"> </v>
      </c>
      <c r="I516" s="172" t="str">
        <f t="shared" si="25"/>
        <v xml:space="preserve"> </v>
      </c>
      <c r="J516" s="673" t="str">
        <f t="shared" si="26"/>
        <v xml:space="preserve"> </v>
      </c>
      <c r="K516" s="674" t="str">
        <f t="shared" si="27"/>
        <v xml:space="preserve"> </v>
      </c>
    </row>
    <row r="517" spans="1:11" ht="21" customHeight="1">
      <c r="A517" s="1013"/>
      <c r="B517" s="772"/>
      <c r="C517" s="671"/>
      <c r="D517" s="773"/>
      <c r="E517" s="774"/>
      <c r="F517" s="173"/>
      <c r="G517" s="672"/>
      <c r="H517" s="1011" t="str">
        <f t="shared" si="28"/>
        <v xml:space="preserve"> </v>
      </c>
      <c r="I517" s="172" t="str">
        <f t="shared" si="25"/>
        <v xml:space="preserve"> </v>
      </c>
      <c r="J517" s="673" t="str">
        <f t="shared" si="26"/>
        <v xml:space="preserve"> </v>
      </c>
      <c r="K517" s="674" t="str">
        <f t="shared" si="27"/>
        <v xml:space="preserve"> </v>
      </c>
    </row>
    <row r="518" spans="1:11" ht="21" customHeight="1">
      <c r="A518" s="1013"/>
      <c r="B518" s="772"/>
      <c r="C518" s="671"/>
      <c r="D518" s="773"/>
      <c r="E518" s="774"/>
      <c r="F518" s="173"/>
      <c r="G518" s="672"/>
      <c r="H518" s="1011" t="str">
        <f t="shared" si="28"/>
        <v xml:space="preserve"> </v>
      </c>
      <c r="I518" s="172" t="str">
        <f t="shared" si="25"/>
        <v xml:space="preserve"> </v>
      </c>
      <c r="J518" s="673" t="str">
        <f t="shared" si="26"/>
        <v xml:space="preserve"> </v>
      </c>
      <c r="K518" s="674" t="str">
        <f t="shared" si="27"/>
        <v xml:space="preserve"> </v>
      </c>
    </row>
    <row r="519" spans="1:11" ht="21" customHeight="1">
      <c r="A519" s="1013"/>
      <c r="B519" s="772"/>
      <c r="C519" s="671"/>
      <c r="D519" s="773"/>
      <c r="E519" s="774"/>
      <c r="F519" s="173"/>
      <c r="G519" s="672"/>
      <c r="H519" s="1011" t="str">
        <f t="shared" si="28"/>
        <v xml:space="preserve"> </v>
      </c>
      <c r="I519" s="172" t="str">
        <f t="shared" si="25"/>
        <v xml:space="preserve"> </v>
      </c>
      <c r="J519" s="673" t="str">
        <f t="shared" si="26"/>
        <v xml:space="preserve"> </v>
      </c>
      <c r="K519" s="674" t="str">
        <f t="shared" si="27"/>
        <v xml:space="preserve"> </v>
      </c>
    </row>
    <row r="520" spans="1:11" ht="21" customHeight="1">
      <c r="A520" s="1013"/>
      <c r="B520" s="772"/>
      <c r="C520" s="671"/>
      <c r="D520" s="773"/>
      <c r="E520" s="774"/>
      <c r="F520" s="173"/>
      <c r="G520" s="672"/>
      <c r="H520" s="1011" t="str">
        <f t="shared" si="28"/>
        <v xml:space="preserve"> </v>
      </c>
      <c r="I520" s="172" t="str">
        <f t="shared" si="25"/>
        <v xml:space="preserve"> </v>
      </c>
      <c r="J520" s="673" t="str">
        <f t="shared" si="26"/>
        <v xml:space="preserve"> </v>
      </c>
      <c r="K520" s="674" t="str">
        <f t="shared" si="27"/>
        <v xml:space="preserve"> </v>
      </c>
    </row>
    <row r="521" spans="1:11" ht="21" customHeight="1">
      <c r="A521" s="1013"/>
      <c r="B521" s="772"/>
      <c r="C521" s="671"/>
      <c r="D521" s="773"/>
      <c r="E521" s="774"/>
      <c r="F521" s="173"/>
      <c r="G521" s="672"/>
      <c r="H521" s="1011" t="str">
        <f t="shared" si="28"/>
        <v xml:space="preserve"> </v>
      </c>
      <c r="I521" s="172" t="str">
        <f t="shared" si="25"/>
        <v xml:space="preserve"> </v>
      </c>
      <c r="J521" s="673" t="str">
        <f t="shared" si="26"/>
        <v xml:space="preserve"> </v>
      </c>
      <c r="K521" s="674" t="str">
        <f t="shared" si="27"/>
        <v xml:space="preserve"> </v>
      </c>
    </row>
    <row r="522" spans="1:11" ht="21" customHeight="1">
      <c r="A522" s="1013"/>
      <c r="B522" s="772"/>
      <c r="C522" s="671"/>
      <c r="D522" s="773"/>
      <c r="E522" s="774"/>
      <c r="F522" s="173"/>
      <c r="G522" s="672"/>
      <c r="H522" s="1011" t="str">
        <f t="shared" si="28"/>
        <v xml:space="preserve"> </v>
      </c>
      <c r="I522" s="172" t="str">
        <f t="shared" si="25"/>
        <v xml:space="preserve"> </v>
      </c>
      <c r="J522" s="673" t="str">
        <f t="shared" si="26"/>
        <v xml:space="preserve"> </v>
      </c>
      <c r="K522" s="674" t="str">
        <f t="shared" si="27"/>
        <v xml:space="preserve"> </v>
      </c>
    </row>
    <row r="523" spans="1:11" ht="21" customHeight="1">
      <c r="A523" s="1013"/>
      <c r="B523" s="772"/>
      <c r="C523" s="671"/>
      <c r="D523" s="773"/>
      <c r="E523" s="774"/>
      <c r="F523" s="173"/>
      <c r="G523" s="672"/>
      <c r="H523" s="1011" t="str">
        <f t="shared" si="28"/>
        <v xml:space="preserve"> </v>
      </c>
      <c r="I523" s="172" t="str">
        <f t="shared" si="25"/>
        <v xml:space="preserve"> </v>
      </c>
      <c r="J523" s="673" t="str">
        <f t="shared" si="26"/>
        <v xml:space="preserve"> </v>
      </c>
      <c r="K523" s="674" t="str">
        <f t="shared" si="27"/>
        <v xml:space="preserve"> </v>
      </c>
    </row>
    <row r="524" spans="1:11" ht="21" customHeight="1">
      <c r="A524" s="1013"/>
      <c r="B524" s="772"/>
      <c r="C524" s="671"/>
      <c r="D524" s="773"/>
      <c r="E524" s="774"/>
      <c r="F524" s="173"/>
      <c r="G524" s="672"/>
      <c r="H524" s="1011" t="str">
        <f t="shared" si="28"/>
        <v xml:space="preserve"> </v>
      </c>
      <c r="I524" s="172" t="str">
        <f t="shared" si="25"/>
        <v xml:space="preserve"> </v>
      </c>
      <c r="J524" s="673" t="str">
        <f t="shared" si="26"/>
        <v xml:space="preserve"> </v>
      </c>
      <c r="K524" s="674" t="str">
        <f t="shared" si="27"/>
        <v xml:space="preserve"> </v>
      </c>
    </row>
    <row r="525" spans="1:11" ht="21" customHeight="1">
      <c r="A525" s="1013"/>
      <c r="B525" s="772"/>
      <c r="C525" s="671"/>
      <c r="D525" s="773"/>
      <c r="E525" s="774"/>
      <c r="F525" s="173"/>
      <c r="G525" s="672"/>
      <c r="H525" s="1011" t="str">
        <f t="shared" si="28"/>
        <v xml:space="preserve"> </v>
      </c>
      <c r="I525" s="172" t="str">
        <f t="shared" si="25"/>
        <v xml:space="preserve"> </v>
      </c>
      <c r="J525" s="673" t="str">
        <f t="shared" si="26"/>
        <v xml:space="preserve"> </v>
      </c>
      <c r="K525" s="674" t="str">
        <f t="shared" si="27"/>
        <v xml:space="preserve"> </v>
      </c>
    </row>
    <row r="526" spans="1:11" ht="21" customHeight="1">
      <c r="A526" s="1013"/>
      <c r="B526" s="772"/>
      <c r="C526" s="671"/>
      <c r="D526" s="773"/>
      <c r="E526" s="774"/>
      <c r="F526" s="173"/>
      <c r="G526" s="672"/>
      <c r="H526" s="1011" t="str">
        <f t="shared" si="28"/>
        <v xml:space="preserve"> </v>
      </c>
      <c r="I526" s="172" t="str">
        <f t="shared" si="25"/>
        <v xml:space="preserve"> </v>
      </c>
      <c r="J526" s="673" t="str">
        <f t="shared" si="26"/>
        <v xml:space="preserve"> </v>
      </c>
      <c r="K526" s="674" t="str">
        <f t="shared" si="27"/>
        <v xml:space="preserve"> </v>
      </c>
    </row>
    <row r="527" spans="1:11" ht="21" customHeight="1">
      <c r="A527" s="1013"/>
      <c r="B527" s="772"/>
      <c r="C527" s="671"/>
      <c r="D527" s="773"/>
      <c r="E527" s="774"/>
      <c r="F527" s="173"/>
      <c r="G527" s="672"/>
      <c r="H527" s="1011" t="str">
        <f t="shared" si="28"/>
        <v xml:space="preserve"> </v>
      </c>
      <c r="I527" s="172" t="str">
        <f t="shared" si="25"/>
        <v xml:space="preserve"> </v>
      </c>
      <c r="J527" s="673" t="str">
        <f t="shared" si="26"/>
        <v xml:space="preserve"> </v>
      </c>
      <c r="K527" s="674" t="str">
        <f t="shared" si="27"/>
        <v xml:space="preserve"> </v>
      </c>
    </row>
    <row r="528" spans="1:11" ht="21" customHeight="1">
      <c r="A528" s="1013"/>
      <c r="B528" s="772"/>
      <c r="C528" s="671"/>
      <c r="D528" s="773"/>
      <c r="E528" s="774"/>
      <c r="F528" s="173"/>
      <c r="G528" s="672"/>
      <c r="H528" s="1011" t="str">
        <f t="shared" si="28"/>
        <v xml:space="preserve"> </v>
      </c>
      <c r="I528" s="172" t="str">
        <f t="shared" si="25"/>
        <v xml:space="preserve"> </v>
      </c>
      <c r="J528" s="673" t="str">
        <f t="shared" si="26"/>
        <v xml:space="preserve"> </v>
      </c>
      <c r="K528" s="674" t="str">
        <f t="shared" si="27"/>
        <v xml:space="preserve"> </v>
      </c>
    </row>
    <row r="529" spans="1:11" ht="21" customHeight="1">
      <c r="A529" s="1013"/>
      <c r="B529" s="772"/>
      <c r="C529" s="671"/>
      <c r="D529" s="773"/>
      <c r="E529" s="774"/>
      <c r="F529" s="173"/>
      <c r="G529" s="672"/>
      <c r="H529" s="1011" t="str">
        <f t="shared" si="28"/>
        <v xml:space="preserve"> </v>
      </c>
      <c r="I529" s="172" t="str">
        <f t="shared" si="25"/>
        <v xml:space="preserve"> </v>
      </c>
      <c r="J529" s="673" t="str">
        <f t="shared" si="26"/>
        <v xml:space="preserve"> </v>
      </c>
      <c r="K529" s="674" t="str">
        <f t="shared" si="27"/>
        <v xml:space="preserve"> </v>
      </c>
    </row>
    <row r="530" spans="1:11" ht="21" customHeight="1">
      <c r="A530" s="1013"/>
      <c r="B530" s="772"/>
      <c r="C530" s="671"/>
      <c r="D530" s="773"/>
      <c r="E530" s="774"/>
      <c r="F530" s="173"/>
      <c r="G530" s="672"/>
      <c r="H530" s="1011" t="str">
        <f t="shared" si="28"/>
        <v xml:space="preserve"> </v>
      </c>
      <c r="I530" s="172" t="str">
        <f t="shared" si="25"/>
        <v xml:space="preserve"> </v>
      </c>
      <c r="J530" s="673" t="str">
        <f t="shared" si="26"/>
        <v xml:space="preserve"> </v>
      </c>
      <c r="K530" s="674" t="str">
        <f t="shared" si="27"/>
        <v xml:space="preserve"> </v>
      </c>
    </row>
    <row r="531" spans="1:11" ht="21" customHeight="1">
      <c r="A531" s="1013"/>
      <c r="B531" s="772"/>
      <c r="C531" s="671"/>
      <c r="D531" s="773"/>
      <c r="E531" s="774"/>
      <c r="F531" s="173"/>
      <c r="G531" s="672"/>
      <c r="H531" s="1011" t="str">
        <f t="shared" si="28"/>
        <v xml:space="preserve"> </v>
      </c>
      <c r="I531" s="172" t="str">
        <f t="shared" si="25"/>
        <v xml:space="preserve"> </v>
      </c>
      <c r="J531" s="673" t="str">
        <f t="shared" si="26"/>
        <v xml:space="preserve"> </v>
      </c>
      <c r="K531" s="674" t="str">
        <f t="shared" si="27"/>
        <v xml:space="preserve"> </v>
      </c>
    </row>
    <row r="532" spans="1:11" ht="21" customHeight="1">
      <c r="A532" s="1013"/>
      <c r="B532" s="772"/>
      <c r="C532" s="671"/>
      <c r="D532" s="773"/>
      <c r="E532" s="774"/>
      <c r="F532" s="173"/>
      <c r="G532" s="672"/>
      <c r="H532" s="1011" t="str">
        <f t="shared" si="28"/>
        <v xml:space="preserve"> </v>
      </c>
      <c r="I532" s="172" t="str">
        <f t="shared" si="25"/>
        <v xml:space="preserve"> </v>
      </c>
      <c r="J532" s="673" t="str">
        <f t="shared" si="26"/>
        <v xml:space="preserve"> </v>
      </c>
      <c r="K532" s="674" t="str">
        <f t="shared" si="27"/>
        <v xml:space="preserve"> </v>
      </c>
    </row>
    <row r="533" spans="1:11" ht="21" customHeight="1">
      <c r="A533" s="1013"/>
      <c r="B533" s="772"/>
      <c r="C533" s="671"/>
      <c r="D533" s="773"/>
      <c r="E533" s="774"/>
      <c r="F533" s="173"/>
      <c r="G533" s="672"/>
      <c r="H533" s="1011" t="str">
        <f t="shared" si="28"/>
        <v xml:space="preserve"> </v>
      </c>
      <c r="I533" s="172" t="str">
        <f t="shared" si="25"/>
        <v xml:space="preserve"> </v>
      </c>
      <c r="J533" s="673" t="str">
        <f t="shared" si="26"/>
        <v xml:space="preserve"> </v>
      </c>
      <c r="K533" s="674" t="str">
        <f t="shared" si="27"/>
        <v xml:space="preserve"> </v>
      </c>
    </row>
    <row r="534" spans="1:11" ht="21" customHeight="1">
      <c r="A534" s="1013"/>
      <c r="B534" s="772"/>
      <c r="C534" s="671"/>
      <c r="D534" s="773"/>
      <c r="E534" s="774"/>
      <c r="F534" s="173"/>
      <c r="G534" s="672"/>
      <c r="H534" s="1011" t="str">
        <f t="shared" si="28"/>
        <v xml:space="preserve"> </v>
      </c>
      <c r="I534" s="172" t="str">
        <f t="shared" si="25"/>
        <v xml:space="preserve"> </v>
      </c>
      <c r="J534" s="673" t="str">
        <f t="shared" si="26"/>
        <v xml:space="preserve"> </v>
      </c>
      <c r="K534" s="674" t="str">
        <f t="shared" si="27"/>
        <v xml:space="preserve"> </v>
      </c>
    </row>
    <row r="535" spans="1:11" ht="21" customHeight="1">
      <c r="A535" s="1013"/>
      <c r="B535" s="772"/>
      <c r="C535" s="671"/>
      <c r="D535" s="773"/>
      <c r="E535" s="774"/>
      <c r="F535" s="173"/>
      <c r="G535" s="672"/>
      <c r="H535" s="1011" t="str">
        <f t="shared" si="28"/>
        <v xml:space="preserve"> </v>
      </c>
      <c r="I535" s="172" t="str">
        <f t="shared" si="25"/>
        <v xml:space="preserve"> </v>
      </c>
      <c r="J535" s="673" t="str">
        <f t="shared" si="26"/>
        <v xml:space="preserve"> </v>
      </c>
      <c r="K535" s="674" t="str">
        <f t="shared" si="27"/>
        <v xml:space="preserve"> </v>
      </c>
    </row>
    <row r="536" spans="1:11" ht="21" customHeight="1">
      <c r="A536" s="1013"/>
      <c r="B536" s="772"/>
      <c r="C536" s="671"/>
      <c r="D536" s="773"/>
      <c r="E536" s="774"/>
      <c r="F536" s="173"/>
      <c r="G536" s="672"/>
      <c r="H536" s="1011" t="str">
        <f t="shared" si="28"/>
        <v xml:space="preserve"> </v>
      </c>
      <c r="I536" s="172" t="str">
        <f t="shared" si="25"/>
        <v xml:space="preserve"> </v>
      </c>
      <c r="J536" s="673" t="str">
        <f t="shared" si="26"/>
        <v xml:space="preserve"> </v>
      </c>
      <c r="K536" s="674" t="str">
        <f t="shared" si="27"/>
        <v xml:space="preserve"> </v>
      </c>
    </row>
    <row r="537" spans="1:11" ht="21" customHeight="1">
      <c r="A537" s="1013"/>
      <c r="B537" s="772"/>
      <c r="C537" s="671"/>
      <c r="D537" s="773"/>
      <c r="E537" s="774"/>
      <c r="F537" s="173"/>
      <c r="G537" s="672"/>
      <c r="H537" s="1011" t="str">
        <f t="shared" si="28"/>
        <v xml:space="preserve"> </v>
      </c>
      <c r="I537" s="172" t="str">
        <f t="shared" si="25"/>
        <v xml:space="preserve"> </v>
      </c>
      <c r="J537" s="673" t="str">
        <f t="shared" si="26"/>
        <v xml:space="preserve"> </v>
      </c>
      <c r="K537" s="674" t="str">
        <f t="shared" si="27"/>
        <v xml:space="preserve"> </v>
      </c>
    </row>
    <row r="538" spans="1:11" ht="21" customHeight="1">
      <c r="A538" s="1013"/>
      <c r="B538" s="772"/>
      <c r="C538" s="671"/>
      <c r="D538" s="773"/>
      <c r="E538" s="774"/>
      <c r="F538" s="173"/>
      <c r="G538" s="672"/>
      <c r="H538" s="1011" t="str">
        <f t="shared" si="28"/>
        <v xml:space="preserve"> </v>
      </c>
      <c r="I538" s="172" t="str">
        <f t="shared" si="25"/>
        <v xml:space="preserve"> </v>
      </c>
      <c r="J538" s="673" t="str">
        <f t="shared" si="26"/>
        <v xml:space="preserve"> </v>
      </c>
      <c r="K538" s="674" t="str">
        <f t="shared" si="27"/>
        <v xml:space="preserve"> </v>
      </c>
    </row>
    <row r="539" spans="1:11" ht="21" customHeight="1">
      <c r="A539" s="1013"/>
      <c r="B539" s="772"/>
      <c r="C539" s="671"/>
      <c r="D539" s="773"/>
      <c r="E539" s="774"/>
      <c r="F539" s="173"/>
      <c r="G539" s="672"/>
      <c r="H539" s="1011" t="str">
        <f t="shared" si="28"/>
        <v xml:space="preserve"> </v>
      </c>
      <c r="I539" s="172" t="str">
        <f t="shared" si="25"/>
        <v xml:space="preserve"> </v>
      </c>
      <c r="J539" s="673" t="str">
        <f t="shared" si="26"/>
        <v xml:space="preserve"> </v>
      </c>
      <c r="K539" s="674" t="str">
        <f t="shared" si="27"/>
        <v xml:space="preserve"> </v>
      </c>
    </row>
    <row r="540" spans="1:11" ht="21" customHeight="1">
      <c r="A540" s="1013"/>
      <c r="B540" s="772"/>
      <c r="C540" s="671"/>
      <c r="D540" s="773"/>
      <c r="E540" s="774"/>
      <c r="F540" s="173"/>
      <c r="G540" s="672"/>
      <c r="H540" s="1011" t="str">
        <f t="shared" si="28"/>
        <v xml:space="preserve"> </v>
      </c>
      <c r="I540" s="172" t="str">
        <f t="shared" si="25"/>
        <v xml:space="preserve"> </v>
      </c>
      <c r="J540" s="673" t="str">
        <f t="shared" si="26"/>
        <v xml:space="preserve"> </v>
      </c>
      <c r="K540" s="674" t="str">
        <f t="shared" si="27"/>
        <v xml:space="preserve"> </v>
      </c>
    </row>
    <row r="541" spans="1:11" ht="21" customHeight="1">
      <c r="A541" s="1013"/>
      <c r="B541" s="772"/>
      <c r="C541" s="671"/>
      <c r="D541" s="773"/>
      <c r="E541" s="774"/>
      <c r="F541" s="173"/>
      <c r="G541" s="672"/>
      <c r="H541" s="1011" t="str">
        <f t="shared" si="28"/>
        <v xml:space="preserve"> </v>
      </c>
      <c r="I541" s="172" t="str">
        <f t="shared" si="25"/>
        <v xml:space="preserve"> </v>
      </c>
      <c r="J541" s="673" t="str">
        <f t="shared" si="26"/>
        <v xml:space="preserve"> </v>
      </c>
      <c r="K541" s="674" t="str">
        <f t="shared" si="27"/>
        <v xml:space="preserve"> </v>
      </c>
    </row>
    <row r="542" spans="1:11" ht="21" customHeight="1">
      <c r="A542" s="1013"/>
      <c r="B542" s="772"/>
      <c r="C542" s="671"/>
      <c r="D542" s="773"/>
      <c r="E542" s="774"/>
      <c r="F542" s="173"/>
      <c r="G542" s="672"/>
      <c r="H542" s="1011" t="str">
        <f t="shared" si="28"/>
        <v xml:space="preserve"> </v>
      </c>
      <c r="I542" s="172" t="str">
        <f t="shared" si="25"/>
        <v xml:space="preserve"> </v>
      </c>
      <c r="J542" s="673" t="str">
        <f t="shared" si="26"/>
        <v xml:space="preserve"> </v>
      </c>
      <c r="K542" s="674" t="str">
        <f t="shared" si="27"/>
        <v xml:space="preserve"> </v>
      </c>
    </row>
    <row r="543" spans="1:11" ht="21" customHeight="1">
      <c r="A543" s="1013"/>
      <c r="B543" s="772"/>
      <c r="C543" s="671"/>
      <c r="D543" s="773"/>
      <c r="E543" s="774"/>
      <c r="F543" s="173"/>
      <c r="G543" s="672"/>
      <c r="H543" s="1011" t="str">
        <f t="shared" si="28"/>
        <v xml:space="preserve"> </v>
      </c>
      <c r="I543" s="172" t="str">
        <f t="shared" ref="I543:I573" si="29">IF($D543="Заплыв №","РЕЗУЛЬТАТ"," ")</f>
        <v xml:space="preserve"> </v>
      </c>
      <c r="J543" s="673" t="str">
        <f t="shared" ref="J543:J573" si="30">IF($D543="Заплыв №","ФИНИШ"," ")</f>
        <v xml:space="preserve"> </v>
      </c>
      <c r="K543" s="674" t="str">
        <f t="shared" ref="K543:K573" si="31">IF($D543="Заплыв №","ПРИМ."," ")</f>
        <v xml:space="preserve"> </v>
      </c>
    </row>
    <row r="544" spans="1:11" ht="21" customHeight="1">
      <c r="A544" s="1013"/>
      <c r="B544" s="772"/>
      <c r="C544" s="671"/>
      <c r="D544" s="773"/>
      <c r="E544" s="774"/>
      <c r="F544" s="173"/>
      <c r="G544" s="672"/>
      <c r="H544" s="1011" t="str">
        <f t="shared" si="28"/>
        <v xml:space="preserve"> </v>
      </c>
      <c r="I544" s="172" t="str">
        <f t="shared" si="29"/>
        <v xml:space="preserve"> </v>
      </c>
      <c r="J544" s="673" t="str">
        <f t="shared" si="30"/>
        <v xml:space="preserve"> </v>
      </c>
      <c r="K544" s="674" t="str">
        <f t="shared" si="31"/>
        <v xml:space="preserve"> </v>
      </c>
    </row>
    <row r="545" spans="1:11" ht="21" customHeight="1">
      <c r="A545" s="1013"/>
      <c r="B545" s="772"/>
      <c r="C545" s="671"/>
      <c r="D545" s="773"/>
      <c r="E545" s="774"/>
      <c r="F545" s="173"/>
      <c r="G545" s="672"/>
      <c r="H545" s="1011" t="str">
        <f t="shared" ref="H545:H573" si="32">IF(ISBLANK(A545)," ",A545)</f>
        <v xml:space="preserve"> </v>
      </c>
      <c r="I545" s="172" t="str">
        <f t="shared" si="29"/>
        <v xml:space="preserve"> </v>
      </c>
      <c r="J545" s="673" t="str">
        <f t="shared" si="30"/>
        <v xml:space="preserve"> </v>
      </c>
      <c r="K545" s="674" t="str">
        <f t="shared" si="31"/>
        <v xml:space="preserve"> </v>
      </c>
    </row>
    <row r="546" spans="1:11" ht="21" customHeight="1">
      <c r="A546" s="1013"/>
      <c r="B546" s="772"/>
      <c r="C546" s="671"/>
      <c r="D546" s="773"/>
      <c r="E546" s="774"/>
      <c r="F546" s="173"/>
      <c r="G546" s="672"/>
      <c r="H546" s="1011" t="str">
        <f t="shared" si="32"/>
        <v xml:space="preserve"> </v>
      </c>
      <c r="I546" s="172" t="str">
        <f t="shared" si="29"/>
        <v xml:space="preserve"> </v>
      </c>
      <c r="J546" s="673" t="str">
        <f t="shared" si="30"/>
        <v xml:space="preserve"> </v>
      </c>
      <c r="K546" s="674" t="str">
        <f t="shared" si="31"/>
        <v xml:space="preserve"> </v>
      </c>
    </row>
    <row r="547" spans="1:11" ht="21" customHeight="1">
      <c r="A547" s="1013"/>
      <c r="B547" s="772"/>
      <c r="C547" s="671"/>
      <c r="D547" s="773"/>
      <c r="E547" s="774"/>
      <c r="F547" s="173"/>
      <c r="G547" s="672"/>
      <c r="H547" s="1011" t="str">
        <f t="shared" si="32"/>
        <v xml:space="preserve"> </v>
      </c>
      <c r="I547" s="172" t="str">
        <f t="shared" si="29"/>
        <v xml:space="preserve"> </v>
      </c>
      <c r="J547" s="673" t="str">
        <f t="shared" si="30"/>
        <v xml:space="preserve"> </v>
      </c>
      <c r="K547" s="674" t="str">
        <f t="shared" si="31"/>
        <v xml:space="preserve"> </v>
      </c>
    </row>
    <row r="548" spans="1:11" ht="21" customHeight="1">
      <c r="A548" s="1013"/>
      <c r="B548" s="772"/>
      <c r="C548" s="671"/>
      <c r="D548" s="773"/>
      <c r="E548" s="774"/>
      <c r="F548" s="173"/>
      <c r="G548" s="672"/>
      <c r="H548" s="1011" t="str">
        <f t="shared" si="32"/>
        <v xml:space="preserve"> </v>
      </c>
      <c r="I548" s="172" t="str">
        <f t="shared" si="29"/>
        <v xml:space="preserve"> </v>
      </c>
      <c r="J548" s="673" t="str">
        <f t="shared" si="30"/>
        <v xml:space="preserve"> </v>
      </c>
      <c r="K548" s="674" t="str">
        <f t="shared" si="31"/>
        <v xml:space="preserve"> </v>
      </c>
    </row>
    <row r="549" spans="1:11" ht="21" customHeight="1">
      <c r="A549" s="1013"/>
      <c r="B549" s="772"/>
      <c r="C549" s="671"/>
      <c r="D549" s="773"/>
      <c r="E549" s="774"/>
      <c r="F549" s="173"/>
      <c r="G549" s="672"/>
      <c r="H549" s="1011" t="str">
        <f t="shared" si="32"/>
        <v xml:space="preserve"> </v>
      </c>
      <c r="I549" s="172" t="str">
        <f t="shared" si="29"/>
        <v xml:space="preserve"> </v>
      </c>
      <c r="J549" s="673" t="str">
        <f t="shared" si="30"/>
        <v xml:space="preserve"> </v>
      </c>
      <c r="K549" s="674" t="str">
        <f t="shared" si="31"/>
        <v xml:space="preserve"> </v>
      </c>
    </row>
    <row r="550" spans="1:11" ht="21" customHeight="1">
      <c r="A550" s="1013"/>
      <c r="B550" s="772"/>
      <c r="C550" s="671"/>
      <c r="D550" s="773"/>
      <c r="E550" s="774"/>
      <c r="F550" s="173"/>
      <c r="G550" s="672"/>
      <c r="H550" s="1011" t="str">
        <f t="shared" si="32"/>
        <v xml:space="preserve"> </v>
      </c>
      <c r="I550" s="172" t="str">
        <f t="shared" si="29"/>
        <v xml:space="preserve"> </v>
      </c>
      <c r="J550" s="673" t="str">
        <f t="shared" si="30"/>
        <v xml:space="preserve"> </v>
      </c>
      <c r="K550" s="674" t="str">
        <f t="shared" si="31"/>
        <v xml:space="preserve"> </v>
      </c>
    </row>
    <row r="551" spans="1:11" ht="21" customHeight="1">
      <c r="A551" s="1013"/>
      <c r="B551" s="772"/>
      <c r="C551" s="671"/>
      <c r="D551" s="773"/>
      <c r="E551" s="774"/>
      <c r="F551" s="173"/>
      <c r="G551" s="672"/>
      <c r="H551" s="1011" t="str">
        <f t="shared" si="32"/>
        <v xml:space="preserve"> </v>
      </c>
      <c r="I551" s="172" t="str">
        <f t="shared" si="29"/>
        <v xml:space="preserve"> </v>
      </c>
      <c r="J551" s="673" t="str">
        <f t="shared" si="30"/>
        <v xml:space="preserve"> </v>
      </c>
      <c r="K551" s="674" t="str">
        <f t="shared" si="31"/>
        <v xml:space="preserve"> </v>
      </c>
    </row>
    <row r="552" spans="1:11" ht="21" customHeight="1">
      <c r="A552" s="1013"/>
      <c r="B552" s="772"/>
      <c r="C552" s="671"/>
      <c r="D552" s="773"/>
      <c r="E552" s="774"/>
      <c r="F552" s="173"/>
      <c r="G552" s="672"/>
      <c r="H552" s="1011" t="str">
        <f t="shared" si="32"/>
        <v xml:space="preserve"> </v>
      </c>
      <c r="I552" s="172" t="str">
        <f t="shared" si="29"/>
        <v xml:space="preserve"> </v>
      </c>
      <c r="J552" s="673" t="str">
        <f t="shared" si="30"/>
        <v xml:space="preserve"> </v>
      </c>
      <c r="K552" s="674" t="str">
        <f t="shared" si="31"/>
        <v xml:space="preserve"> </v>
      </c>
    </row>
    <row r="553" spans="1:11" ht="21" customHeight="1">
      <c r="A553" s="1013"/>
      <c r="B553" s="772"/>
      <c r="C553" s="671"/>
      <c r="D553" s="773"/>
      <c r="E553" s="774"/>
      <c r="F553" s="173"/>
      <c r="G553" s="672"/>
      <c r="H553" s="1011" t="str">
        <f t="shared" si="32"/>
        <v xml:space="preserve"> </v>
      </c>
      <c r="I553" s="172" t="str">
        <f t="shared" si="29"/>
        <v xml:space="preserve"> </v>
      </c>
      <c r="J553" s="673" t="str">
        <f t="shared" si="30"/>
        <v xml:space="preserve"> </v>
      </c>
      <c r="K553" s="674" t="str">
        <f t="shared" si="31"/>
        <v xml:space="preserve"> </v>
      </c>
    </row>
    <row r="554" spans="1:11" ht="21" customHeight="1">
      <c r="A554" s="1013"/>
      <c r="B554" s="772"/>
      <c r="C554" s="671"/>
      <c r="D554" s="773"/>
      <c r="E554" s="774"/>
      <c r="F554" s="173"/>
      <c r="G554" s="672"/>
      <c r="H554" s="1011" t="str">
        <f t="shared" si="32"/>
        <v xml:space="preserve"> </v>
      </c>
      <c r="I554" s="172" t="str">
        <f t="shared" si="29"/>
        <v xml:space="preserve"> </v>
      </c>
      <c r="J554" s="673" t="str">
        <f t="shared" si="30"/>
        <v xml:space="preserve"> </v>
      </c>
      <c r="K554" s="674" t="str">
        <f t="shared" si="31"/>
        <v xml:space="preserve"> </v>
      </c>
    </row>
    <row r="555" spans="1:11" ht="21" customHeight="1">
      <c r="A555" s="1013"/>
      <c r="B555" s="772"/>
      <c r="C555" s="671"/>
      <c r="D555" s="773"/>
      <c r="E555" s="774"/>
      <c r="F555" s="173"/>
      <c r="G555" s="672"/>
      <c r="H555" s="1011" t="str">
        <f t="shared" si="32"/>
        <v xml:space="preserve"> </v>
      </c>
      <c r="I555" s="172" t="str">
        <f t="shared" si="29"/>
        <v xml:space="preserve"> </v>
      </c>
      <c r="J555" s="673" t="str">
        <f t="shared" si="30"/>
        <v xml:space="preserve"> </v>
      </c>
      <c r="K555" s="674" t="str">
        <f t="shared" si="31"/>
        <v xml:space="preserve"> </v>
      </c>
    </row>
    <row r="556" spans="1:11" ht="21" customHeight="1">
      <c r="A556" s="1013"/>
      <c r="B556" s="772"/>
      <c r="C556" s="671"/>
      <c r="D556" s="773"/>
      <c r="E556" s="774"/>
      <c r="F556" s="173"/>
      <c r="G556" s="672"/>
      <c r="H556" s="1011" t="str">
        <f t="shared" si="32"/>
        <v xml:space="preserve"> </v>
      </c>
      <c r="I556" s="172" t="str">
        <f t="shared" si="29"/>
        <v xml:space="preserve"> </v>
      </c>
      <c r="J556" s="673" t="str">
        <f t="shared" si="30"/>
        <v xml:space="preserve"> </v>
      </c>
      <c r="K556" s="674" t="str">
        <f t="shared" si="31"/>
        <v xml:space="preserve"> </v>
      </c>
    </row>
    <row r="557" spans="1:11" ht="21" customHeight="1">
      <c r="A557" s="1013"/>
      <c r="B557" s="772"/>
      <c r="C557" s="671"/>
      <c r="D557" s="773"/>
      <c r="E557" s="774"/>
      <c r="F557" s="173"/>
      <c r="G557" s="672"/>
      <c r="H557" s="1011" t="str">
        <f t="shared" si="32"/>
        <v xml:space="preserve"> </v>
      </c>
      <c r="I557" s="172" t="str">
        <f t="shared" si="29"/>
        <v xml:space="preserve"> </v>
      </c>
      <c r="J557" s="673" t="str">
        <f t="shared" si="30"/>
        <v xml:space="preserve"> </v>
      </c>
      <c r="K557" s="674" t="str">
        <f t="shared" si="31"/>
        <v xml:space="preserve"> </v>
      </c>
    </row>
    <row r="558" spans="1:11" ht="21" customHeight="1">
      <c r="A558" s="1013"/>
      <c r="B558" s="772"/>
      <c r="C558" s="671"/>
      <c r="D558" s="773"/>
      <c r="E558" s="774"/>
      <c r="F558" s="173"/>
      <c r="G558" s="672"/>
      <c r="H558" s="1011" t="str">
        <f t="shared" si="32"/>
        <v xml:space="preserve"> </v>
      </c>
      <c r="I558" s="172" t="str">
        <f t="shared" si="29"/>
        <v xml:space="preserve"> </v>
      </c>
      <c r="J558" s="673" t="str">
        <f t="shared" si="30"/>
        <v xml:space="preserve"> </v>
      </c>
      <c r="K558" s="674" t="str">
        <f t="shared" si="31"/>
        <v xml:space="preserve"> </v>
      </c>
    </row>
    <row r="559" spans="1:11" ht="21" customHeight="1">
      <c r="A559" s="1013"/>
      <c r="B559" s="772"/>
      <c r="C559" s="671"/>
      <c r="D559" s="773"/>
      <c r="E559" s="774"/>
      <c r="F559" s="173"/>
      <c r="G559" s="672"/>
      <c r="H559" s="1011" t="str">
        <f t="shared" si="32"/>
        <v xml:space="preserve"> </v>
      </c>
      <c r="I559" s="172" t="str">
        <f t="shared" si="29"/>
        <v xml:space="preserve"> </v>
      </c>
      <c r="J559" s="673" t="str">
        <f t="shared" si="30"/>
        <v xml:space="preserve"> </v>
      </c>
      <c r="K559" s="674" t="str">
        <f t="shared" si="31"/>
        <v xml:space="preserve"> </v>
      </c>
    </row>
    <row r="560" spans="1:11" ht="21" customHeight="1">
      <c r="A560" s="1013"/>
      <c r="B560" s="772"/>
      <c r="C560" s="671"/>
      <c r="D560" s="773"/>
      <c r="E560" s="774"/>
      <c r="F560" s="173"/>
      <c r="G560" s="672"/>
      <c r="H560" s="1011" t="str">
        <f t="shared" si="32"/>
        <v xml:space="preserve"> </v>
      </c>
      <c r="I560" s="172" t="str">
        <f t="shared" si="29"/>
        <v xml:space="preserve"> </v>
      </c>
      <c r="J560" s="673" t="str">
        <f t="shared" si="30"/>
        <v xml:space="preserve"> </v>
      </c>
      <c r="K560" s="674" t="str">
        <f t="shared" si="31"/>
        <v xml:space="preserve"> </v>
      </c>
    </row>
    <row r="561" spans="1:11" ht="21" customHeight="1">
      <c r="A561" s="1013"/>
      <c r="B561" s="772"/>
      <c r="C561" s="671"/>
      <c r="D561" s="773"/>
      <c r="E561" s="774"/>
      <c r="F561" s="173"/>
      <c r="G561" s="672"/>
      <c r="H561" s="1011" t="str">
        <f t="shared" si="32"/>
        <v xml:space="preserve"> </v>
      </c>
      <c r="I561" s="172" t="str">
        <f t="shared" si="29"/>
        <v xml:space="preserve"> </v>
      </c>
      <c r="J561" s="673" t="str">
        <f t="shared" si="30"/>
        <v xml:space="preserve"> </v>
      </c>
      <c r="K561" s="674" t="str">
        <f t="shared" si="31"/>
        <v xml:space="preserve"> </v>
      </c>
    </row>
    <row r="562" spans="1:11" ht="21" customHeight="1">
      <c r="A562" s="1013"/>
      <c r="B562" s="772"/>
      <c r="C562" s="671"/>
      <c r="D562" s="773"/>
      <c r="E562" s="774"/>
      <c r="F562" s="173"/>
      <c r="G562" s="672"/>
      <c r="H562" s="1011" t="str">
        <f t="shared" si="32"/>
        <v xml:space="preserve"> </v>
      </c>
      <c r="I562" s="172" t="str">
        <f t="shared" si="29"/>
        <v xml:space="preserve"> </v>
      </c>
      <c r="J562" s="673" t="str">
        <f t="shared" si="30"/>
        <v xml:space="preserve"> </v>
      </c>
      <c r="K562" s="674" t="str">
        <f t="shared" si="31"/>
        <v xml:space="preserve"> </v>
      </c>
    </row>
    <row r="563" spans="1:11" ht="21" customHeight="1">
      <c r="A563" s="1013"/>
      <c r="B563" s="772"/>
      <c r="C563" s="671"/>
      <c r="D563" s="773"/>
      <c r="E563" s="774"/>
      <c r="F563" s="173"/>
      <c r="G563" s="672"/>
      <c r="H563" s="1011" t="str">
        <f t="shared" si="32"/>
        <v xml:space="preserve"> </v>
      </c>
      <c r="I563" s="172" t="str">
        <f t="shared" si="29"/>
        <v xml:space="preserve"> </v>
      </c>
      <c r="J563" s="673" t="str">
        <f t="shared" si="30"/>
        <v xml:space="preserve"> </v>
      </c>
      <c r="K563" s="674" t="str">
        <f t="shared" si="31"/>
        <v xml:space="preserve"> </v>
      </c>
    </row>
    <row r="564" spans="1:11" ht="21" customHeight="1">
      <c r="A564" s="1013"/>
      <c r="B564" s="772"/>
      <c r="C564" s="671"/>
      <c r="D564" s="773"/>
      <c r="E564" s="774"/>
      <c r="F564" s="173"/>
      <c r="G564" s="672"/>
      <c r="H564" s="1011" t="str">
        <f t="shared" si="32"/>
        <v xml:space="preserve"> </v>
      </c>
      <c r="I564" s="172" t="str">
        <f t="shared" si="29"/>
        <v xml:space="preserve"> </v>
      </c>
      <c r="J564" s="673" t="str">
        <f t="shared" si="30"/>
        <v xml:space="preserve"> </v>
      </c>
      <c r="K564" s="674" t="str">
        <f t="shared" si="31"/>
        <v xml:space="preserve"> </v>
      </c>
    </row>
    <row r="565" spans="1:11" ht="21" customHeight="1">
      <c r="A565" s="1013"/>
      <c r="B565" s="772"/>
      <c r="C565" s="671"/>
      <c r="D565" s="773"/>
      <c r="E565" s="774"/>
      <c r="F565" s="173"/>
      <c r="G565" s="672"/>
      <c r="H565" s="1011" t="str">
        <f t="shared" si="32"/>
        <v xml:space="preserve"> </v>
      </c>
      <c r="I565" s="172" t="str">
        <f t="shared" si="29"/>
        <v xml:space="preserve"> </v>
      </c>
      <c r="J565" s="673" t="str">
        <f t="shared" si="30"/>
        <v xml:space="preserve"> </v>
      </c>
      <c r="K565" s="674" t="str">
        <f t="shared" si="31"/>
        <v xml:space="preserve"> </v>
      </c>
    </row>
    <row r="566" spans="1:11" ht="21" customHeight="1">
      <c r="A566" s="1013"/>
      <c r="B566" s="772"/>
      <c r="C566" s="671"/>
      <c r="D566" s="773"/>
      <c r="E566" s="774"/>
      <c r="F566" s="173"/>
      <c r="G566" s="672"/>
      <c r="H566" s="1011" t="str">
        <f t="shared" si="32"/>
        <v xml:space="preserve"> </v>
      </c>
      <c r="I566" s="172" t="str">
        <f t="shared" si="29"/>
        <v xml:space="preserve"> </v>
      </c>
      <c r="J566" s="673" t="str">
        <f t="shared" si="30"/>
        <v xml:space="preserve"> </v>
      </c>
      <c r="K566" s="674" t="str">
        <f t="shared" si="31"/>
        <v xml:space="preserve"> </v>
      </c>
    </row>
    <row r="567" spans="1:11" ht="21" customHeight="1">
      <c r="A567" s="1013"/>
      <c r="B567" s="772"/>
      <c r="C567" s="671"/>
      <c r="D567" s="773"/>
      <c r="E567" s="774"/>
      <c r="F567" s="173"/>
      <c r="G567" s="672"/>
      <c r="H567" s="1011" t="str">
        <f t="shared" si="32"/>
        <v xml:space="preserve"> </v>
      </c>
      <c r="I567" s="172" t="str">
        <f t="shared" si="29"/>
        <v xml:space="preserve"> </v>
      </c>
      <c r="J567" s="673" t="str">
        <f t="shared" si="30"/>
        <v xml:space="preserve"> </v>
      </c>
      <c r="K567" s="674" t="str">
        <f t="shared" si="31"/>
        <v xml:space="preserve"> </v>
      </c>
    </row>
    <row r="568" spans="1:11" ht="21" customHeight="1">
      <c r="A568" s="1013"/>
      <c r="B568" s="772"/>
      <c r="C568" s="671"/>
      <c r="D568" s="773"/>
      <c r="E568" s="774"/>
      <c r="F568" s="173"/>
      <c r="G568" s="672"/>
      <c r="H568" s="1011" t="str">
        <f t="shared" si="32"/>
        <v xml:space="preserve"> </v>
      </c>
      <c r="I568" s="172" t="str">
        <f t="shared" si="29"/>
        <v xml:space="preserve"> </v>
      </c>
      <c r="J568" s="673" t="str">
        <f t="shared" si="30"/>
        <v xml:space="preserve"> </v>
      </c>
      <c r="K568" s="674" t="str">
        <f t="shared" si="31"/>
        <v xml:space="preserve"> </v>
      </c>
    </row>
    <row r="569" spans="1:11" ht="21" customHeight="1">
      <c r="A569" s="1013"/>
      <c r="B569" s="772"/>
      <c r="C569" s="671"/>
      <c r="D569" s="773"/>
      <c r="E569" s="774"/>
      <c r="F569" s="173"/>
      <c r="G569" s="672"/>
      <c r="H569" s="1011" t="str">
        <f t="shared" si="32"/>
        <v xml:space="preserve"> </v>
      </c>
      <c r="I569" s="172" t="str">
        <f t="shared" si="29"/>
        <v xml:space="preserve"> </v>
      </c>
      <c r="J569" s="673" t="str">
        <f t="shared" si="30"/>
        <v xml:space="preserve"> </v>
      </c>
      <c r="K569" s="674" t="str">
        <f t="shared" si="31"/>
        <v xml:space="preserve"> </v>
      </c>
    </row>
    <row r="570" spans="1:11" ht="21" customHeight="1">
      <c r="A570" s="1013"/>
      <c r="B570" s="772"/>
      <c r="C570" s="671"/>
      <c r="D570" s="773"/>
      <c r="E570" s="774"/>
      <c r="F570" s="173"/>
      <c r="G570" s="672"/>
      <c r="H570" s="1011" t="str">
        <f t="shared" si="32"/>
        <v xml:space="preserve"> </v>
      </c>
      <c r="I570" s="172" t="str">
        <f t="shared" si="29"/>
        <v xml:space="preserve"> </v>
      </c>
      <c r="J570" s="673" t="str">
        <f t="shared" si="30"/>
        <v xml:space="preserve"> </v>
      </c>
      <c r="K570" s="674" t="str">
        <f t="shared" si="31"/>
        <v xml:space="preserve"> </v>
      </c>
    </row>
    <row r="571" spans="1:11" ht="21" customHeight="1">
      <c r="A571" s="1013"/>
      <c r="B571" s="772"/>
      <c r="C571" s="671"/>
      <c r="D571" s="773"/>
      <c r="E571" s="774"/>
      <c r="F571" s="173"/>
      <c r="G571" s="672"/>
      <c r="H571" s="1011" t="str">
        <f t="shared" si="32"/>
        <v xml:space="preserve"> </v>
      </c>
      <c r="I571" s="172" t="str">
        <f t="shared" si="29"/>
        <v xml:space="preserve"> </v>
      </c>
      <c r="J571" s="673" t="str">
        <f t="shared" si="30"/>
        <v xml:space="preserve"> </v>
      </c>
      <c r="K571" s="674" t="str">
        <f t="shared" si="31"/>
        <v xml:space="preserve"> </v>
      </c>
    </row>
    <row r="572" spans="1:11" ht="21" customHeight="1">
      <c r="A572" s="1013"/>
      <c r="B572" s="772"/>
      <c r="C572" s="671"/>
      <c r="D572" s="773"/>
      <c r="E572" s="774"/>
      <c r="F572" s="173"/>
      <c r="G572" s="672"/>
      <c r="H572" s="1011" t="str">
        <f t="shared" si="32"/>
        <v xml:space="preserve"> </v>
      </c>
      <c r="I572" s="172" t="str">
        <f t="shared" si="29"/>
        <v xml:space="preserve"> </v>
      </c>
      <c r="J572" s="673" t="str">
        <f t="shared" si="30"/>
        <v xml:space="preserve"> </v>
      </c>
      <c r="K572" s="674" t="str">
        <f t="shared" si="31"/>
        <v xml:space="preserve"> </v>
      </c>
    </row>
    <row r="573" spans="1:11" ht="21" customHeight="1">
      <c r="A573" s="1013"/>
      <c r="B573" s="772"/>
      <c r="C573" s="671"/>
      <c r="D573" s="773"/>
      <c r="E573" s="774"/>
      <c r="F573" s="173"/>
      <c r="G573" s="672"/>
      <c r="H573" s="1011" t="str">
        <f t="shared" si="32"/>
        <v xml:space="preserve"> </v>
      </c>
      <c r="I573" s="172" t="str">
        <f t="shared" si="29"/>
        <v xml:space="preserve"> </v>
      </c>
      <c r="J573" s="673" t="str">
        <f t="shared" si="30"/>
        <v xml:space="preserve"> </v>
      </c>
      <c r="K573" s="674" t="str">
        <f t="shared" si="31"/>
        <v xml:space="preserve"> </v>
      </c>
    </row>
  </sheetData>
  <conditionalFormatting sqref="C1:C1048576">
    <cfRule type="expression" dxfId="2" priority="15">
      <formula>IF(C1="Заплыв №",TRUE)</formula>
    </cfRule>
  </conditionalFormatting>
  <conditionalFormatting sqref="D1:D1048576">
    <cfRule type="expression" dxfId="1" priority="14">
      <formula>IF(D1&lt;1000,TRUE)</formula>
    </cfRule>
  </conditionalFormatting>
  <conditionalFormatting sqref="H1:H388 A1:C1048576">
    <cfRule type="expression" dxfId="0" priority="13">
      <formula>IF(LEN(A1)&gt;30,TRUE,IF(LEN(B1)&gt;30,TRUE,IF(LEN(C1)&gt;30,TRUE)))</formula>
    </cfRule>
  </conditionalFormatting>
  <pageMargins left="0" right="0" top="0.31496062992125984" bottom="0.39370078740157483" header="0" footer="0.11811023622047245"/>
  <pageSetup paperSize="9" orientation="portrait" horizontalDpi="200" verticalDpi="300" r:id="rId1"/>
  <headerFooter>
    <oddFooter>&amp;R&amp;"Times New Roman,полужирный курсив"&amp;8Стр. &amp;P из 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Лист16"/>
  <dimension ref="A1:B25"/>
  <sheetViews>
    <sheetView workbookViewId="0">
      <selection activeCell="B1" sqref="B1:B25"/>
    </sheetView>
  </sheetViews>
  <sheetFormatPr defaultRowHeight="15"/>
  <sheetData>
    <row r="1" spans="1:2" ht="15" customHeight="1">
      <c r="A1" s="138"/>
      <c r="B1" s="538">
        <v>50</v>
      </c>
    </row>
    <row r="2" spans="1:2" ht="15" customHeight="1">
      <c r="A2" s="163"/>
      <c r="B2" s="538">
        <v>46</v>
      </c>
    </row>
    <row r="3" spans="1:2" ht="15" customHeight="1">
      <c r="A3" s="164"/>
      <c r="B3" s="538">
        <v>42</v>
      </c>
    </row>
    <row r="4" spans="1:2" ht="15" customHeight="1">
      <c r="A4" s="163"/>
      <c r="B4" s="538">
        <v>39</v>
      </c>
    </row>
    <row r="5" spans="1:2" ht="15" customHeight="1">
      <c r="A5" s="138"/>
      <c r="B5" s="538">
        <v>36</v>
      </c>
    </row>
    <row r="6" spans="1:2" ht="15" customHeight="1">
      <c r="A6" s="163"/>
      <c r="B6" s="538">
        <v>33</v>
      </c>
    </row>
    <row r="7" spans="1:2" ht="15" customHeight="1">
      <c r="A7" s="163"/>
      <c r="B7" s="538">
        <v>30</v>
      </c>
    </row>
    <row r="8" spans="1:2" ht="15" customHeight="1">
      <c r="A8" s="7"/>
      <c r="B8" s="538">
        <v>27</v>
      </c>
    </row>
    <row r="9" spans="1:2" ht="15" customHeight="1">
      <c r="A9" s="163"/>
      <c r="B9" s="538">
        <v>24</v>
      </c>
    </row>
    <row r="10" spans="1:2" ht="15" customHeight="1">
      <c r="A10" s="163"/>
      <c r="B10" s="538">
        <v>22</v>
      </c>
    </row>
    <row r="11" spans="1:2" ht="15" customHeight="1">
      <c r="A11" s="163"/>
      <c r="B11" s="538">
        <v>20</v>
      </c>
    </row>
    <row r="12" spans="1:2" ht="15" customHeight="1">
      <c r="A12" s="163"/>
      <c r="B12" s="538">
        <v>18</v>
      </c>
    </row>
    <row r="13" spans="1:2" ht="15" customHeight="1">
      <c r="A13" s="163"/>
      <c r="B13" s="538">
        <v>16</v>
      </c>
    </row>
    <row r="14" spans="1:2" ht="15" customHeight="1">
      <c r="A14" s="163"/>
      <c r="B14" s="538">
        <v>14</v>
      </c>
    </row>
    <row r="15" spans="1:2" ht="15" customHeight="1">
      <c r="A15" s="163"/>
      <c r="B15" s="538">
        <v>12</v>
      </c>
    </row>
    <row r="16" spans="1:2" ht="15" customHeight="1">
      <c r="A16" s="163"/>
      <c r="B16" s="538">
        <v>10</v>
      </c>
    </row>
    <row r="17" spans="1:2" ht="15" customHeight="1">
      <c r="A17" s="163"/>
      <c r="B17" s="538">
        <v>9</v>
      </c>
    </row>
    <row r="18" spans="1:2" ht="15" customHeight="1">
      <c r="A18" s="163"/>
      <c r="B18" s="538">
        <v>8</v>
      </c>
    </row>
    <row r="19" spans="1:2" ht="15" customHeight="1">
      <c r="A19" s="163"/>
      <c r="B19" s="538">
        <v>7</v>
      </c>
    </row>
    <row r="20" spans="1:2" ht="15" customHeight="1">
      <c r="A20" s="163"/>
      <c r="B20" s="538">
        <v>6</v>
      </c>
    </row>
    <row r="21" spans="1:2" ht="15" customHeight="1">
      <c r="A21" s="163"/>
      <c r="B21" s="538">
        <v>5</v>
      </c>
    </row>
    <row r="22" spans="1:2" ht="15" customHeight="1">
      <c r="A22" s="10"/>
      <c r="B22" s="538">
        <v>4</v>
      </c>
    </row>
    <row r="23" spans="1:2" ht="15" customHeight="1">
      <c r="A23" s="10"/>
      <c r="B23" s="538">
        <v>3</v>
      </c>
    </row>
    <row r="24" spans="1:2" ht="15" customHeight="1">
      <c r="A24" s="32"/>
      <c r="B24" s="538">
        <v>2</v>
      </c>
    </row>
    <row r="25" spans="1:2" ht="15" customHeight="1">
      <c r="A25" s="32"/>
      <c r="B25" s="538">
        <v>1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Лист22"/>
  <dimension ref="A1:M33"/>
  <sheetViews>
    <sheetView topLeftCell="A19" workbookViewId="0">
      <selection activeCell="P7" sqref="P7"/>
    </sheetView>
  </sheetViews>
  <sheetFormatPr defaultColWidth="9.14453125" defaultRowHeight="13.5"/>
  <cols>
    <col min="1" max="1" width="3.09375" style="676" customWidth="1"/>
    <col min="2" max="2" width="9.953125" style="676" customWidth="1"/>
    <col min="3" max="3" width="5.6484375" style="676" customWidth="1"/>
    <col min="4" max="4" width="9.953125" style="676" customWidth="1"/>
    <col min="5" max="5" width="5.6484375" style="676" customWidth="1"/>
    <col min="6" max="6" width="9.953125" style="676" customWidth="1"/>
    <col min="7" max="7" width="5.6484375" style="676" customWidth="1"/>
    <col min="8" max="8" width="9.953125" style="676" customWidth="1"/>
    <col min="9" max="9" width="5.6484375" style="676" customWidth="1"/>
    <col min="10" max="10" width="9.953125" style="676" customWidth="1"/>
    <col min="11" max="11" width="5.6484375" style="676" customWidth="1"/>
    <col min="12" max="12" width="9.953125" style="676" customWidth="1"/>
    <col min="13" max="13" width="5.6484375" style="676" customWidth="1"/>
    <col min="14" max="16384" width="9.14453125" style="676"/>
  </cols>
  <sheetData>
    <row r="1" spans="1:13" ht="28.5" customHeight="1">
      <c r="A1" s="685" t="s">
        <v>695</v>
      </c>
      <c r="B1" s="684"/>
      <c r="C1" s="683"/>
      <c r="D1" s="683"/>
    </row>
    <row r="2" spans="1:13" s="677" customFormat="1" ht="21" customHeight="1">
      <c r="A2" s="682"/>
      <c r="B2" s="1851" t="s">
        <v>694</v>
      </c>
      <c r="C2" s="1852"/>
      <c r="D2" s="1851" t="s">
        <v>693</v>
      </c>
      <c r="E2" s="1852"/>
      <c r="F2" s="1851" t="s">
        <v>692</v>
      </c>
      <c r="G2" s="1852"/>
      <c r="H2" s="1851" t="s">
        <v>691</v>
      </c>
      <c r="I2" s="1852"/>
      <c r="J2" s="1851" t="s">
        <v>690</v>
      </c>
      <c r="K2" s="1852"/>
      <c r="L2" s="1851" t="s">
        <v>689</v>
      </c>
      <c r="M2" s="1852"/>
    </row>
    <row r="3" spans="1:13" s="677" customFormat="1" ht="16.5" customHeight="1">
      <c r="A3" s="682"/>
      <c r="B3" s="681" t="s">
        <v>688</v>
      </c>
      <c r="C3" s="680" t="s">
        <v>687</v>
      </c>
      <c r="D3" s="681" t="s">
        <v>688</v>
      </c>
      <c r="E3" s="680" t="s">
        <v>687</v>
      </c>
      <c r="F3" s="681" t="s">
        <v>688</v>
      </c>
      <c r="G3" s="680" t="s">
        <v>687</v>
      </c>
      <c r="H3" s="681" t="s">
        <v>688</v>
      </c>
      <c r="I3" s="680" t="s">
        <v>687</v>
      </c>
      <c r="J3" s="681" t="s">
        <v>688</v>
      </c>
      <c r="K3" s="680" t="s">
        <v>687</v>
      </c>
      <c r="L3" s="681" t="s">
        <v>688</v>
      </c>
      <c r="M3" s="680" t="s">
        <v>687</v>
      </c>
    </row>
    <row r="4" spans="1:13" s="677" customFormat="1" ht="24.95" customHeight="1">
      <c r="A4" s="679">
        <v>1</v>
      </c>
      <c r="B4" s="678"/>
      <c r="C4" s="678"/>
      <c r="D4" s="678"/>
      <c r="E4" s="678"/>
      <c r="F4" s="678"/>
      <c r="G4" s="678"/>
      <c r="H4" s="678"/>
      <c r="I4" s="678"/>
      <c r="J4" s="678"/>
      <c r="K4" s="678"/>
      <c r="L4" s="678"/>
      <c r="M4" s="678"/>
    </row>
    <row r="5" spans="1:13" s="677" customFormat="1" ht="24.95" customHeight="1">
      <c r="A5" s="679">
        <v>2</v>
      </c>
      <c r="B5" s="678"/>
      <c r="C5" s="678"/>
      <c r="D5" s="678"/>
      <c r="E5" s="678"/>
      <c r="F5" s="678"/>
      <c r="G5" s="678"/>
      <c r="H5" s="678"/>
      <c r="I5" s="678"/>
      <c r="J5" s="678"/>
      <c r="K5" s="678"/>
      <c r="L5" s="678"/>
      <c r="M5" s="678"/>
    </row>
    <row r="6" spans="1:13" s="677" customFormat="1" ht="24.95" customHeight="1">
      <c r="A6" s="679">
        <v>3</v>
      </c>
      <c r="B6" s="678"/>
      <c r="C6" s="678"/>
      <c r="D6" s="678"/>
      <c r="E6" s="678"/>
      <c r="F6" s="678"/>
      <c r="G6" s="678"/>
      <c r="H6" s="678"/>
      <c r="I6" s="678"/>
      <c r="J6" s="678"/>
      <c r="K6" s="678"/>
      <c r="L6" s="678"/>
      <c r="M6" s="678"/>
    </row>
    <row r="7" spans="1:13" s="677" customFormat="1" ht="24.95" customHeight="1">
      <c r="A7" s="679">
        <v>4</v>
      </c>
      <c r="B7" s="678"/>
      <c r="C7" s="678"/>
      <c r="D7" s="678"/>
      <c r="E7" s="678"/>
      <c r="F7" s="678"/>
      <c r="G7" s="678"/>
      <c r="H7" s="678"/>
      <c r="I7" s="678"/>
      <c r="J7" s="678"/>
      <c r="K7" s="678"/>
      <c r="L7" s="678"/>
      <c r="M7" s="678"/>
    </row>
    <row r="8" spans="1:13" s="677" customFormat="1" ht="24.95" customHeight="1">
      <c r="A8" s="679">
        <v>5</v>
      </c>
      <c r="B8" s="678"/>
      <c r="C8" s="678"/>
      <c r="D8" s="678"/>
      <c r="E8" s="678"/>
      <c r="F8" s="678"/>
      <c r="G8" s="678"/>
      <c r="H8" s="678"/>
      <c r="I8" s="678"/>
      <c r="J8" s="678"/>
      <c r="K8" s="678"/>
      <c r="L8" s="678"/>
      <c r="M8" s="678"/>
    </row>
    <row r="9" spans="1:13" s="677" customFormat="1" ht="24.95" customHeight="1">
      <c r="A9" s="679">
        <v>6</v>
      </c>
      <c r="B9" s="678"/>
      <c r="C9" s="678"/>
      <c r="D9" s="678"/>
      <c r="E9" s="678"/>
      <c r="F9" s="678"/>
      <c r="G9" s="678"/>
      <c r="H9" s="678"/>
      <c r="I9" s="678"/>
      <c r="J9" s="678"/>
      <c r="K9" s="678"/>
      <c r="L9" s="678"/>
      <c r="M9" s="678"/>
    </row>
    <row r="10" spans="1:13" s="677" customFormat="1" ht="24.95" customHeight="1">
      <c r="A10" s="679">
        <v>7</v>
      </c>
      <c r="B10" s="678"/>
      <c r="C10" s="678"/>
      <c r="D10" s="678"/>
      <c r="E10" s="678"/>
      <c r="F10" s="678"/>
      <c r="G10" s="678"/>
      <c r="H10" s="678"/>
      <c r="I10" s="678"/>
      <c r="J10" s="678"/>
      <c r="K10" s="678"/>
      <c r="L10" s="678"/>
      <c r="M10" s="678"/>
    </row>
    <row r="11" spans="1:13" s="677" customFormat="1" ht="24.95" customHeight="1">
      <c r="A11" s="679">
        <v>8</v>
      </c>
      <c r="B11" s="678"/>
      <c r="C11" s="678"/>
      <c r="D11" s="678"/>
      <c r="E11" s="678"/>
      <c r="F11" s="678"/>
      <c r="G11" s="678"/>
      <c r="H11" s="678"/>
      <c r="I11" s="678"/>
      <c r="J11" s="678"/>
      <c r="K11" s="678"/>
      <c r="L11" s="678"/>
      <c r="M11" s="678"/>
    </row>
    <row r="12" spans="1:13" s="677" customFormat="1" ht="24.95" customHeight="1">
      <c r="A12" s="679">
        <v>9</v>
      </c>
      <c r="B12" s="678"/>
      <c r="C12" s="678"/>
      <c r="D12" s="678"/>
      <c r="E12" s="678"/>
      <c r="F12" s="678"/>
      <c r="G12" s="678"/>
      <c r="H12" s="678"/>
      <c r="I12" s="678"/>
      <c r="J12" s="678"/>
      <c r="K12" s="678"/>
      <c r="L12" s="678"/>
      <c r="M12" s="678"/>
    </row>
    <row r="13" spans="1:13" s="677" customFormat="1" ht="24.95" customHeight="1">
      <c r="A13" s="679">
        <v>10</v>
      </c>
      <c r="B13" s="678"/>
      <c r="C13" s="678"/>
      <c r="D13" s="678"/>
      <c r="E13" s="678"/>
      <c r="F13" s="678"/>
      <c r="G13" s="678"/>
      <c r="H13" s="678"/>
      <c r="I13" s="678"/>
      <c r="J13" s="678"/>
      <c r="K13" s="678"/>
      <c r="L13" s="678"/>
      <c r="M13" s="678"/>
    </row>
    <row r="14" spans="1:13" s="677" customFormat="1" ht="24.95" customHeight="1">
      <c r="A14" s="679">
        <v>11</v>
      </c>
      <c r="B14" s="678"/>
      <c r="C14" s="678"/>
      <c r="D14" s="678"/>
      <c r="E14" s="678"/>
      <c r="F14" s="678"/>
      <c r="G14" s="678"/>
      <c r="H14" s="678"/>
      <c r="I14" s="678"/>
      <c r="J14" s="678"/>
      <c r="K14" s="678"/>
      <c r="L14" s="678"/>
      <c r="M14" s="678"/>
    </row>
    <row r="15" spans="1:13" s="677" customFormat="1" ht="24.95" customHeight="1">
      <c r="A15" s="679">
        <v>12</v>
      </c>
      <c r="B15" s="678"/>
      <c r="C15" s="678"/>
      <c r="D15" s="678"/>
      <c r="E15" s="678"/>
      <c r="F15" s="678"/>
      <c r="G15" s="678"/>
      <c r="H15" s="678"/>
      <c r="I15" s="678"/>
      <c r="J15" s="678"/>
      <c r="K15" s="678"/>
      <c r="L15" s="678"/>
      <c r="M15" s="678"/>
    </row>
    <row r="16" spans="1:13" s="677" customFormat="1" ht="24.95" customHeight="1">
      <c r="A16" s="679">
        <v>13</v>
      </c>
      <c r="B16" s="678"/>
      <c r="C16" s="678"/>
      <c r="D16" s="678"/>
      <c r="E16" s="678"/>
      <c r="F16" s="678"/>
      <c r="G16" s="678"/>
      <c r="H16" s="678"/>
      <c r="I16" s="678"/>
      <c r="J16" s="678"/>
      <c r="K16" s="678"/>
      <c r="L16" s="678"/>
      <c r="M16" s="678"/>
    </row>
    <row r="17" spans="1:13" s="677" customFormat="1" ht="24.95" customHeight="1">
      <c r="A17" s="679">
        <v>14</v>
      </c>
      <c r="B17" s="678"/>
      <c r="C17" s="678"/>
      <c r="D17" s="678"/>
      <c r="E17" s="678"/>
      <c r="F17" s="678"/>
      <c r="G17" s="678"/>
      <c r="H17" s="678"/>
      <c r="I17" s="678"/>
      <c r="J17" s="678"/>
      <c r="K17" s="678"/>
      <c r="L17" s="678"/>
      <c r="M17" s="678"/>
    </row>
    <row r="18" spans="1:13" s="677" customFormat="1" ht="24.95" customHeight="1">
      <c r="A18" s="679">
        <v>15</v>
      </c>
      <c r="B18" s="678"/>
      <c r="C18" s="678"/>
      <c r="D18" s="678"/>
      <c r="E18" s="678"/>
      <c r="F18" s="678"/>
      <c r="G18" s="678"/>
      <c r="H18" s="678"/>
      <c r="I18" s="678"/>
      <c r="J18" s="678"/>
      <c r="K18" s="678"/>
      <c r="L18" s="678"/>
      <c r="M18" s="678"/>
    </row>
    <row r="19" spans="1:13" s="677" customFormat="1" ht="24.95" customHeight="1">
      <c r="A19" s="679">
        <v>16</v>
      </c>
      <c r="B19" s="678"/>
      <c r="C19" s="678"/>
      <c r="D19" s="678"/>
      <c r="E19" s="678"/>
      <c r="F19" s="678"/>
      <c r="G19" s="678"/>
      <c r="H19" s="678"/>
      <c r="I19" s="678"/>
      <c r="J19" s="678"/>
      <c r="K19" s="678"/>
      <c r="L19" s="678"/>
      <c r="M19" s="678"/>
    </row>
    <row r="20" spans="1:13" s="677" customFormat="1" ht="24.95" customHeight="1">
      <c r="A20" s="679">
        <v>17</v>
      </c>
      <c r="B20" s="678"/>
      <c r="C20" s="678"/>
      <c r="D20" s="678"/>
      <c r="E20" s="678"/>
      <c r="F20" s="678"/>
      <c r="G20" s="678"/>
      <c r="H20" s="678"/>
      <c r="I20" s="678"/>
      <c r="J20" s="678"/>
      <c r="K20" s="678"/>
      <c r="L20" s="678"/>
      <c r="M20" s="678"/>
    </row>
    <row r="21" spans="1:13" s="677" customFormat="1" ht="24.95" customHeight="1">
      <c r="A21" s="679">
        <v>18</v>
      </c>
      <c r="B21" s="678"/>
      <c r="C21" s="678"/>
      <c r="D21" s="678"/>
      <c r="E21" s="678"/>
      <c r="F21" s="678"/>
      <c r="G21" s="678"/>
      <c r="H21" s="678"/>
      <c r="I21" s="678"/>
      <c r="J21" s="678"/>
      <c r="K21" s="678"/>
      <c r="L21" s="678"/>
      <c r="M21" s="678"/>
    </row>
    <row r="22" spans="1:13" s="677" customFormat="1" ht="24.95" customHeight="1">
      <c r="A22" s="679">
        <v>19</v>
      </c>
      <c r="B22" s="678"/>
      <c r="C22" s="678"/>
      <c r="D22" s="678"/>
      <c r="E22" s="678"/>
      <c r="F22" s="678"/>
      <c r="G22" s="678"/>
      <c r="H22" s="678"/>
      <c r="I22" s="678"/>
      <c r="J22" s="678"/>
      <c r="K22" s="678"/>
      <c r="L22" s="678"/>
      <c r="M22" s="678"/>
    </row>
    <row r="23" spans="1:13" s="677" customFormat="1" ht="24.95" customHeight="1">
      <c r="A23" s="679">
        <v>20</v>
      </c>
      <c r="B23" s="678"/>
      <c r="C23" s="678"/>
      <c r="D23" s="678"/>
      <c r="E23" s="678"/>
      <c r="F23" s="678"/>
      <c r="G23" s="678"/>
      <c r="H23" s="678"/>
      <c r="I23" s="678"/>
      <c r="J23" s="678"/>
      <c r="K23" s="678"/>
      <c r="L23" s="678"/>
      <c r="M23" s="678"/>
    </row>
    <row r="24" spans="1:13" s="677" customFormat="1" ht="24.95" customHeight="1">
      <c r="A24" s="679">
        <v>21</v>
      </c>
      <c r="B24" s="678"/>
      <c r="C24" s="678"/>
      <c r="D24" s="678"/>
      <c r="E24" s="678"/>
      <c r="F24" s="678"/>
      <c r="G24" s="678"/>
      <c r="H24" s="678"/>
      <c r="I24" s="678"/>
      <c r="J24" s="678"/>
      <c r="K24" s="678"/>
      <c r="L24" s="678"/>
      <c r="M24" s="678"/>
    </row>
    <row r="25" spans="1:13" s="677" customFormat="1" ht="24.95" customHeight="1">
      <c r="A25" s="679">
        <v>22</v>
      </c>
      <c r="B25" s="678"/>
      <c r="C25" s="678"/>
      <c r="D25" s="678"/>
      <c r="E25" s="678"/>
      <c r="F25" s="678"/>
      <c r="G25" s="678"/>
      <c r="H25" s="678"/>
      <c r="I25" s="678"/>
      <c r="J25" s="678"/>
      <c r="K25" s="678"/>
      <c r="L25" s="678"/>
      <c r="M25" s="678"/>
    </row>
    <row r="26" spans="1:13" s="677" customFormat="1" ht="24.95" customHeight="1">
      <c r="A26" s="679">
        <v>23</v>
      </c>
      <c r="B26" s="678"/>
      <c r="C26" s="678"/>
      <c r="D26" s="678"/>
      <c r="E26" s="678"/>
      <c r="F26" s="678"/>
      <c r="G26" s="678"/>
      <c r="H26" s="678"/>
      <c r="I26" s="678"/>
      <c r="J26" s="678"/>
      <c r="K26" s="678"/>
      <c r="L26" s="678"/>
      <c r="M26" s="678"/>
    </row>
    <row r="27" spans="1:13" s="677" customFormat="1" ht="24.95" customHeight="1">
      <c r="A27" s="679">
        <v>24</v>
      </c>
      <c r="B27" s="678"/>
      <c r="C27" s="678"/>
      <c r="D27" s="678"/>
      <c r="E27" s="678"/>
      <c r="F27" s="678"/>
      <c r="G27" s="678"/>
      <c r="H27" s="678"/>
      <c r="I27" s="678"/>
      <c r="J27" s="678"/>
      <c r="K27" s="678"/>
      <c r="L27" s="678"/>
      <c r="M27" s="678"/>
    </row>
    <row r="28" spans="1:13" s="677" customFormat="1" ht="24.95" customHeight="1">
      <c r="A28" s="679">
        <v>25</v>
      </c>
      <c r="B28" s="678"/>
      <c r="C28" s="678"/>
      <c r="D28" s="678"/>
      <c r="E28" s="678"/>
      <c r="F28" s="678"/>
      <c r="G28" s="678"/>
      <c r="H28" s="678"/>
      <c r="I28" s="678"/>
      <c r="J28" s="678"/>
      <c r="K28" s="678"/>
      <c r="L28" s="678"/>
      <c r="M28" s="678"/>
    </row>
    <row r="29" spans="1:13" s="677" customFormat="1" ht="24.95" customHeight="1">
      <c r="A29" s="679">
        <v>26</v>
      </c>
      <c r="B29" s="678"/>
      <c r="C29" s="678"/>
      <c r="D29" s="678"/>
      <c r="E29" s="678"/>
      <c r="F29" s="678"/>
      <c r="G29" s="678"/>
      <c r="H29" s="678"/>
      <c r="I29" s="678"/>
      <c r="J29" s="678"/>
      <c r="K29" s="678"/>
      <c r="L29" s="678"/>
      <c r="M29" s="678"/>
    </row>
    <row r="30" spans="1:13" s="677" customFormat="1" ht="24.95" customHeight="1">
      <c r="A30" s="679">
        <v>27</v>
      </c>
      <c r="B30" s="678"/>
      <c r="C30" s="678"/>
      <c r="D30" s="678"/>
      <c r="E30" s="678"/>
      <c r="F30" s="678"/>
      <c r="G30" s="678"/>
      <c r="H30" s="678"/>
      <c r="I30" s="678"/>
      <c r="J30" s="678"/>
      <c r="K30" s="678"/>
      <c r="L30" s="678"/>
      <c r="M30" s="678"/>
    </row>
    <row r="31" spans="1:13" s="677" customFormat="1" ht="24.95" customHeight="1">
      <c r="A31" s="679">
        <v>28</v>
      </c>
      <c r="B31" s="678"/>
      <c r="C31" s="678"/>
      <c r="D31" s="678"/>
      <c r="E31" s="678"/>
      <c r="F31" s="678"/>
      <c r="G31" s="678"/>
      <c r="H31" s="678"/>
      <c r="I31" s="678"/>
      <c r="J31" s="678"/>
      <c r="K31" s="678"/>
      <c r="L31" s="678"/>
      <c r="M31" s="678"/>
    </row>
    <row r="32" spans="1:13" s="677" customFormat="1" ht="24.95" customHeight="1">
      <c r="A32" s="679">
        <v>29</v>
      </c>
      <c r="B32" s="678"/>
      <c r="C32" s="678"/>
      <c r="D32" s="678"/>
      <c r="E32" s="678"/>
      <c r="F32" s="678"/>
      <c r="G32" s="678"/>
      <c r="H32" s="678"/>
      <c r="I32" s="678"/>
      <c r="J32" s="678"/>
      <c r="K32" s="678"/>
      <c r="L32" s="678"/>
      <c r="M32" s="678"/>
    </row>
    <row r="33" spans="1:13" s="677" customFormat="1" ht="24.95" customHeight="1">
      <c r="A33" s="679">
        <v>30</v>
      </c>
      <c r="B33" s="678"/>
      <c r="C33" s="678"/>
      <c r="D33" s="678"/>
      <c r="E33" s="678"/>
      <c r="F33" s="678"/>
      <c r="G33" s="678"/>
      <c r="H33" s="678"/>
      <c r="I33" s="678"/>
      <c r="J33" s="678"/>
      <c r="K33" s="678"/>
      <c r="L33" s="678"/>
      <c r="M33" s="678"/>
    </row>
  </sheetData>
  <mergeCells count="6">
    <mergeCell ref="B2:C2"/>
    <mergeCell ref="L2:M2"/>
    <mergeCell ref="J2:K2"/>
    <mergeCell ref="H2:I2"/>
    <mergeCell ref="F2:G2"/>
    <mergeCell ref="D2:E2"/>
  </mergeCells>
  <pageMargins left="0.27559055118110237" right="0.31496062992125984" top="0.35433070866141736" bottom="0.35433070866141736" header="0.31496062992125984" footer="0.31496062992125984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Лист23"/>
  <dimension ref="A1:H28"/>
  <sheetViews>
    <sheetView workbookViewId="0">
      <selection sqref="A1:H18"/>
    </sheetView>
  </sheetViews>
  <sheetFormatPr defaultColWidth="9.14453125" defaultRowHeight="18" customHeight="1"/>
  <cols>
    <col min="1" max="1" width="8.609375" style="232" customWidth="1"/>
    <col min="2" max="2" width="15.73828125" style="232" customWidth="1"/>
    <col min="3" max="3" width="8.609375" style="232" customWidth="1"/>
    <col min="4" max="4" width="15.73828125" style="232" customWidth="1"/>
    <col min="5" max="5" width="8.609375" style="232" customWidth="1"/>
    <col min="6" max="6" width="15.73828125" style="232" customWidth="1"/>
    <col min="7" max="7" width="8.609375" style="232" customWidth="1"/>
    <col min="8" max="8" width="15.73828125" style="232" customWidth="1"/>
    <col min="9" max="16384" width="9.14453125" style="232"/>
  </cols>
  <sheetData>
    <row r="1" spans="1:8" ht="35.25" customHeight="1" thickTop="1">
      <c r="A1" s="1853" t="s">
        <v>336</v>
      </c>
      <c r="B1" s="1854"/>
      <c r="C1" s="1854"/>
      <c r="D1" s="1854"/>
      <c r="E1" s="1853" t="str">
        <f>A1</f>
        <v>Заплыв __________ дорожка_____</v>
      </c>
      <c r="F1" s="1854"/>
      <c r="G1" s="1854"/>
      <c r="H1" s="1855"/>
    </row>
    <row r="2" spans="1:8" ht="30" customHeight="1">
      <c r="A2" s="391">
        <v>100</v>
      </c>
      <c r="B2" s="389"/>
      <c r="C2" s="389">
        <f>900</f>
        <v>900</v>
      </c>
      <c r="D2" s="399"/>
      <c r="E2" s="391">
        <v>100</v>
      </c>
      <c r="F2" s="389"/>
      <c r="G2" s="389">
        <f>900</f>
        <v>900</v>
      </c>
      <c r="H2" s="392"/>
    </row>
    <row r="3" spans="1:8" ht="30" customHeight="1">
      <c r="A3" s="391">
        <f>A2+100</f>
        <v>200</v>
      </c>
      <c r="B3" s="390"/>
      <c r="C3" s="389">
        <f>C2+100</f>
        <v>1000</v>
      </c>
      <c r="D3" s="400"/>
      <c r="E3" s="391">
        <f>E2+100</f>
        <v>200</v>
      </c>
      <c r="F3" s="390"/>
      <c r="G3" s="389">
        <f>G2+100</f>
        <v>1000</v>
      </c>
      <c r="H3" s="393"/>
    </row>
    <row r="4" spans="1:8" ht="30" customHeight="1">
      <c r="A4" s="391">
        <f t="shared" ref="A4:C17" si="0">A3+100</f>
        <v>300</v>
      </c>
      <c r="B4" s="389"/>
      <c r="C4" s="389">
        <f t="shared" si="0"/>
        <v>1100</v>
      </c>
      <c r="D4" s="399"/>
      <c r="E4" s="391">
        <f t="shared" ref="E4:E9" si="1">E3+100</f>
        <v>300</v>
      </c>
      <c r="F4" s="389"/>
      <c r="G4" s="389">
        <f t="shared" ref="G4:G8" si="2">G3+100</f>
        <v>1100</v>
      </c>
      <c r="H4" s="392"/>
    </row>
    <row r="5" spans="1:8" ht="30" customHeight="1">
      <c r="A5" s="391">
        <f t="shared" si="0"/>
        <v>400</v>
      </c>
      <c r="B5" s="390"/>
      <c r="C5" s="389">
        <f t="shared" si="0"/>
        <v>1200</v>
      </c>
      <c r="D5" s="400"/>
      <c r="E5" s="391">
        <f t="shared" si="1"/>
        <v>400</v>
      </c>
      <c r="F5" s="390"/>
      <c r="G5" s="389">
        <f t="shared" si="2"/>
        <v>1200</v>
      </c>
      <c r="H5" s="393"/>
    </row>
    <row r="6" spans="1:8" ht="30" customHeight="1">
      <c r="A6" s="391">
        <f t="shared" si="0"/>
        <v>500</v>
      </c>
      <c r="B6" s="389"/>
      <c r="C6" s="389">
        <f t="shared" si="0"/>
        <v>1300</v>
      </c>
      <c r="D6" s="399"/>
      <c r="E6" s="391">
        <f t="shared" si="1"/>
        <v>500</v>
      </c>
      <c r="F6" s="389"/>
      <c r="G6" s="389">
        <f t="shared" si="2"/>
        <v>1300</v>
      </c>
      <c r="H6" s="392"/>
    </row>
    <row r="7" spans="1:8" ht="30" customHeight="1">
      <c r="A7" s="391">
        <f t="shared" si="0"/>
        <v>600</v>
      </c>
      <c r="B7" s="390"/>
      <c r="C7" s="389">
        <f t="shared" si="0"/>
        <v>1400</v>
      </c>
      <c r="D7" s="400"/>
      <c r="E7" s="391">
        <f t="shared" si="1"/>
        <v>600</v>
      </c>
      <c r="F7" s="390"/>
      <c r="G7" s="389">
        <f t="shared" si="2"/>
        <v>1400</v>
      </c>
      <c r="H7" s="393"/>
    </row>
    <row r="8" spans="1:8" ht="30" customHeight="1">
      <c r="A8" s="391">
        <f t="shared" si="0"/>
        <v>700</v>
      </c>
      <c r="B8" s="389"/>
      <c r="C8" s="389">
        <f t="shared" si="0"/>
        <v>1500</v>
      </c>
      <c r="D8" s="399"/>
      <c r="E8" s="391">
        <f t="shared" si="1"/>
        <v>700</v>
      </c>
      <c r="F8" s="389"/>
      <c r="G8" s="389">
        <f t="shared" si="2"/>
        <v>1500</v>
      </c>
      <c r="H8" s="392"/>
    </row>
    <row r="9" spans="1:8" ht="30" customHeight="1" thickBot="1">
      <c r="A9" s="394">
        <f t="shared" si="0"/>
        <v>800</v>
      </c>
      <c r="B9" s="397"/>
      <c r="C9" s="395"/>
      <c r="D9" s="401"/>
      <c r="E9" s="394">
        <f t="shared" si="1"/>
        <v>800</v>
      </c>
      <c r="F9" s="397"/>
      <c r="G9" s="395"/>
      <c r="H9" s="398"/>
    </row>
    <row r="10" spans="1:8" ht="35.25" customHeight="1" thickTop="1">
      <c r="A10" s="1853" t="str">
        <f>A1</f>
        <v>Заплыв __________ дорожка_____</v>
      </c>
      <c r="B10" s="1854"/>
      <c r="C10" s="1854"/>
      <c r="D10" s="1854"/>
      <c r="E10" s="1853" t="str">
        <f>A1</f>
        <v>Заплыв __________ дорожка_____</v>
      </c>
      <c r="F10" s="1854"/>
      <c r="G10" s="1854"/>
      <c r="H10" s="1855"/>
    </row>
    <row r="11" spans="1:8" ht="30" customHeight="1">
      <c r="A11" s="391">
        <v>100</v>
      </c>
      <c r="B11" s="389"/>
      <c r="C11" s="389">
        <v>900</v>
      </c>
      <c r="D11" s="399"/>
      <c r="E11" s="391">
        <v>100</v>
      </c>
      <c r="F11" s="389"/>
      <c r="G11" s="389">
        <v>900</v>
      </c>
      <c r="H11" s="392"/>
    </row>
    <row r="12" spans="1:8" ht="30" customHeight="1">
      <c r="A12" s="391">
        <f t="shared" si="0"/>
        <v>200</v>
      </c>
      <c r="B12" s="390"/>
      <c r="C12" s="389">
        <f t="shared" si="0"/>
        <v>1000</v>
      </c>
      <c r="D12" s="400"/>
      <c r="E12" s="391">
        <f t="shared" ref="E12:E17" si="3">E11+100</f>
        <v>200</v>
      </c>
      <c r="F12" s="390"/>
      <c r="G12" s="389">
        <f t="shared" ref="G12:G17" si="4">G11+100</f>
        <v>1000</v>
      </c>
      <c r="H12" s="393"/>
    </row>
    <row r="13" spans="1:8" ht="30" customHeight="1">
      <c r="A13" s="391">
        <f t="shared" si="0"/>
        <v>300</v>
      </c>
      <c r="B13" s="389"/>
      <c r="C13" s="389">
        <f t="shared" si="0"/>
        <v>1100</v>
      </c>
      <c r="D13" s="399"/>
      <c r="E13" s="391">
        <f t="shared" si="3"/>
        <v>300</v>
      </c>
      <c r="F13" s="389"/>
      <c r="G13" s="389">
        <f t="shared" si="4"/>
        <v>1100</v>
      </c>
      <c r="H13" s="392"/>
    </row>
    <row r="14" spans="1:8" ht="30" customHeight="1">
      <c r="A14" s="391">
        <f t="shared" si="0"/>
        <v>400</v>
      </c>
      <c r="B14" s="390"/>
      <c r="C14" s="389">
        <f t="shared" si="0"/>
        <v>1200</v>
      </c>
      <c r="D14" s="400"/>
      <c r="E14" s="391">
        <f t="shared" si="3"/>
        <v>400</v>
      </c>
      <c r="F14" s="390"/>
      <c r="G14" s="389">
        <f t="shared" si="4"/>
        <v>1200</v>
      </c>
      <c r="H14" s="393"/>
    </row>
    <row r="15" spans="1:8" ht="30" customHeight="1">
      <c r="A15" s="391">
        <f t="shared" si="0"/>
        <v>500</v>
      </c>
      <c r="B15" s="389"/>
      <c r="C15" s="389">
        <f t="shared" si="0"/>
        <v>1300</v>
      </c>
      <c r="D15" s="399"/>
      <c r="E15" s="391">
        <f t="shared" si="3"/>
        <v>500</v>
      </c>
      <c r="F15" s="389"/>
      <c r="G15" s="389">
        <f t="shared" si="4"/>
        <v>1300</v>
      </c>
      <c r="H15" s="392"/>
    </row>
    <row r="16" spans="1:8" ht="30" customHeight="1">
      <c r="A16" s="391">
        <f t="shared" si="0"/>
        <v>600</v>
      </c>
      <c r="B16" s="390"/>
      <c r="C16" s="389">
        <f t="shared" si="0"/>
        <v>1400</v>
      </c>
      <c r="D16" s="400"/>
      <c r="E16" s="391">
        <f t="shared" si="3"/>
        <v>600</v>
      </c>
      <c r="F16" s="390"/>
      <c r="G16" s="389">
        <f t="shared" si="4"/>
        <v>1400</v>
      </c>
      <c r="H16" s="393"/>
    </row>
    <row r="17" spans="1:8" ht="30" customHeight="1">
      <c r="A17" s="391">
        <f t="shared" si="0"/>
        <v>700</v>
      </c>
      <c r="B17" s="389"/>
      <c r="C17" s="389">
        <f t="shared" si="0"/>
        <v>1500</v>
      </c>
      <c r="D17" s="399"/>
      <c r="E17" s="391">
        <f t="shared" si="3"/>
        <v>700</v>
      </c>
      <c r="F17" s="389"/>
      <c r="G17" s="389">
        <f t="shared" si="4"/>
        <v>1500</v>
      </c>
      <c r="H17" s="392"/>
    </row>
    <row r="18" spans="1:8" ht="30" customHeight="1" thickBot="1">
      <c r="A18" s="394">
        <v>800</v>
      </c>
      <c r="B18" s="395"/>
      <c r="C18" s="395"/>
      <c r="D18" s="402"/>
      <c r="E18" s="394">
        <v>800</v>
      </c>
      <c r="F18" s="395"/>
      <c r="G18" s="395"/>
      <c r="H18" s="396"/>
    </row>
    <row r="19" spans="1:8" ht="35.25" customHeight="1" thickTop="1">
      <c r="A19" s="1853" t="str">
        <f>A1</f>
        <v>Заплыв __________ дорожка_____</v>
      </c>
      <c r="B19" s="1854"/>
      <c r="C19" s="1854"/>
      <c r="D19" s="1854"/>
      <c r="E19" s="1853" t="str">
        <f>A1</f>
        <v>Заплыв __________ дорожка_____</v>
      </c>
      <c r="F19" s="1854"/>
      <c r="G19" s="1854"/>
      <c r="H19" s="1855"/>
    </row>
    <row r="20" spans="1:8" ht="30" customHeight="1">
      <c r="A20" s="391">
        <v>100</v>
      </c>
      <c r="B20" s="390"/>
      <c r="C20" s="389">
        <v>900</v>
      </c>
      <c r="D20" s="400"/>
      <c r="E20" s="391">
        <v>100</v>
      </c>
      <c r="F20" s="390"/>
      <c r="G20" s="389">
        <v>900</v>
      </c>
      <c r="H20" s="393"/>
    </row>
    <row r="21" spans="1:8" ht="30" customHeight="1">
      <c r="A21" s="391">
        <f t="shared" ref="A21:A27" si="5">A20+100</f>
        <v>200</v>
      </c>
      <c r="B21" s="389"/>
      <c r="C21" s="389">
        <f t="shared" ref="C21:C26" si="6">C20+100</f>
        <v>1000</v>
      </c>
      <c r="D21" s="399"/>
      <c r="E21" s="391">
        <f t="shared" ref="E21:E27" si="7">E20+100</f>
        <v>200</v>
      </c>
      <c r="F21" s="389"/>
      <c r="G21" s="389">
        <f t="shared" ref="G21:G26" si="8">G20+100</f>
        <v>1000</v>
      </c>
      <c r="H21" s="392"/>
    </row>
    <row r="22" spans="1:8" ht="30" customHeight="1">
      <c r="A22" s="391">
        <f t="shared" si="5"/>
        <v>300</v>
      </c>
      <c r="B22" s="390"/>
      <c r="C22" s="389">
        <f t="shared" si="6"/>
        <v>1100</v>
      </c>
      <c r="D22" s="400"/>
      <c r="E22" s="391">
        <f t="shared" si="7"/>
        <v>300</v>
      </c>
      <c r="F22" s="390"/>
      <c r="G22" s="389">
        <f t="shared" si="8"/>
        <v>1100</v>
      </c>
      <c r="H22" s="393"/>
    </row>
    <row r="23" spans="1:8" ht="30" customHeight="1">
      <c r="A23" s="391">
        <f t="shared" si="5"/>
        <v>400</v>
      </c>
      <c r="B23" s="389"/>
      <c r="C23" s="389">
        <f t="shared" si="6"/>
        <v>1200</v>
      </c>
      <c r="D23" s="399"/>
      <c r="E23" s="391">
        <f t="shared" si="7"/>
        <v>400</v>
      </c>
      <c r="F23" s="389"/>
      <c r="G23" s="389">
        <f t="shared" si="8"/>
        <v>1200</v>
      </c>
      <c r="H23" s="392"/>
    </row>
    <row r="24" spans="1:8" ht="30" customHeight="1">
      <c r="A24" s="391">
        <f t="shared" si="5"/>
        <v>500</v>
      </c>
      <c r="B24" s="390"/>
      <c r="C24" s="389">
        <f t="shared" si="6"/>
        <v>1300</v>
      </c>
      <c r="D24" s="400"/>
      <c r="E24" s="391">
        <f t="shared" si="7"/>
        <v>500</v>
      </c>
      <c r="F24" s="390"/>
      <c r="G24" s="389">
        <f t="shared" si="8"/>
        <v>1300</v>
      </c>
      <c r="H24" s="393"/>
    </row>
    <row r="25" spans="1:8" ht="30" customHeight="1">
      <c r="A25" s="391">
        <f t="shared" si="5"/>
        <v>600</v>
      </c>
      <c r="B25" s="389"/>
      <c r="C25" s="389">
        <f t="shared" si="6"/>
        <v>1400</v>
      </c>
      <c r="D25" s="399"/>
      <c r="E25" s="391">
        <f t="shared" si="7"/>
        <v>600</v>
      </c>
      <c r="F25" s="389"/>
      <c r="G25" s="389">
        <f t="shared" si="8"/>
        <v>1400</v>
      </c>
      <c r="H25" s="392"/>
    </row>
    <row r="26" spans="1:8" ht="30" customHeight="1">
      <c r="A26" s="391">
        <f t="shared" si="5"/>
        <v>700</v>
      </c>
      <c r="B26" s="390"/>
      <c r="C26" s="389">
        <f t="shared" si="6"/>
        <v>1500</v>
      </c>
      <c r="D26" s="400"/>
      <c r="E26" s="391">
        <f t="shared" si="7"/>
        <v>700</v>
      </c>
      <c r="F26" s="390"/>
      <c r="G26" s="389">
        <f t="shared" si="8"/>
        <v>1500</v>
      </c>
      <c r="H26" s="393"/>
    </row>
    <row r="27" spans="1:8" ht="30" customHeight="1" thickBot="1">
      <c r="A27" s="394">
        <f t="shared" si="5"/>
        <v>800</v>
      </c>
      <c r="B27" s="395"/>
      <c r="C27" s="395"/>
      <c r="D27" s="402"/>
      <c r="E27" s="394">
        <f t="shared" si="7"/>
        <v>800</v>
      </c>
      <c r="F27" s="395"/>
      <c r="G27" s="395"/>
      <c r="H27" s="396"/>
    </row>
    <row r="28" spans="1:8" ht="18" customHeight="1" thickTop="1"/>
  </sheetData>
  <mergeCells count="6">
    <mergeCell ref="A1:D1"/>
    <mergeCell ref="E1:H1"/>
    <mergeCell ref="A10:D10"/>
    <mergeCell ref="E10:H10"/>
    <mergeCell ref="A19:D19"/>
    <mergeCell ref="E19:H19"/>
  </mergeCells>
  <pageMargins left="0.23622047244094491" right="0.23622047244094491" top="0.23622047244094491" bottom="0.23622047244094491" header="0" footer="0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V109"/>
  <sheetViews>
    <sheetView view="pageBreakPreview" topLeftCell="A14" zoomScale="115" zoomScaleNormal="97" zoomScaleSheetLayoutView="115" zoomScalePageLayoutView="75" workbookViewId="0">
      <pane xSplit="3" ySplit="5" topLeftCell="D31" activePane="bottomRight" state="frozen"/>
      <selection activeCell="A14" sqref="A14"/>
      <selection pane="bottomLeft" activeCell="A19" sqref="A19"/>
      <selection pane="topRight" activeCell="D14" sqref="D14"/>
      <selection pane="bottomRight" activeCell="C79" sqref="C79:V79"/>
    </sheetView>
  </sheetViews>
  <sheetFormatPr defaultColWidth="5.37890625" defaultRowHeight="18.75"/>
  <cols>
    <col min="1" max="1" width="4.9765625" style="1073" customWidth="1"/>
    <col min="2" max="2" width="17.21875" style="1073" customWidth="1"/>
    <col min="3" max="3" width="10.0859375" style="1073" customWidth="1"/>
    <col min="4" max="4" width="9.68359375" style="1073" customWidth="1"/>
    <col min="5" max="22" width="9.28125" style="1073" customWidth="1"/>
    <col min="23" max="256" width="5.37890625" style="1073"/>
    <col min="257" max="257" width="4.9765625" style="1073" customWidth="1"/>
    <col min="258" max="258" width="17.21875" style="1073" customWidth="1"/>
    <col min="259" max="259" width="10.0859375" style="1073" customWidth="1"/>
    <col min="260" max="260" width="9.68359375" style="1073" customWidth="1"/>
    <col min="261" max="278" width="9.28125" style="1073" customWidth="1"/>
    <col min="279" max="512" width="5.37890625" style="1073"/>
    <col min="513" max="513" width="4.9765625" style="1073" customWidth="1"/>
    <col min="514" max="514" width="17.21875" style="1073" customWidth="1"/>
    <col min="515" max="515" width="10.0859375" style="1073" customWidth="1"/>
    <col min="516" max="516" width="9.68359375" style="1073" customWidth="1"/>
    <col min="517" max="534" width="9.28125" style="1073" customWidth="1"/>
    <col min="535" max="768" width="5.37890625" style="1073"/>
    <col min="769" max="769" width="4.9765625" style="1073" customWidth="1"/>
    <col min="770" max="770" width="17.21875" style="1073" customWidth="1"/>
    <col min="771" max="771" width="10.0859375" style="1073" customWidth="1"/>
    <col min="772" max="772" width="9.68359375" style="1073" customWidth="1"/>
    <col min="773" max="790" width="9.28125" style="1073" customWidth="1"/>
    <col min="791" max="1024" width="5.37890625" style="1073"/>
    <col min="1025" max="1025" width="4.9765625" style="1073" customWidth="1"/>
    <col min="1026" max="1026" width="17.21875" style="1073" customWidth="1"/>
    <col min="1027" max="1027" width="10.0859375" style="1073" customWidth="1"/>
    <col min="1028" max="1028" width="9.68359375" style="1073" customWidth="1"/>
    <col min="1029" max="1046" width="9.28125" style="1073" customWidth="1"/>
    <col min="1047" max="1280" width="5.37890625" style="1073"/>
    <col min="1281" max="1281" width="4.9765625" style="1073" customWidth="1"/>
    <col min="1282" max="1282" width="17.21875" style="1073" customWidth="1"/>
    <col min="1283" max="1283" width="10.0859375" style="1073" customWidth="1"/>
    <col min="1284" max="1284" width="9.68359375" style="1073" customWidth="1"/>
    <col min="1285" max="1302" width="9.28125" style="1073" customWidth="1"/>
    <col min="1303" max="1536" width="5.37890625" style="1073"/>
    <col min="1537" max="1537" width="4.9765625" style="1073" customWidth="1"/>
    <col min="1538" max="1538" width="17.21875" style="1073" customWidth="1"/>
    <col min="1539" max="1539" width="10.0859375" style="1073" customWidth="1"/>
    <col min="1540" max="1540" width="9.68359375" style="1073" customWidth="1"/>
    <col min="1541" max="1558" width="9.28125" style="1073" customWidth="1"/>
    <col min="1559" max="1792" width="5.37890625" style="1073"/>
    <col min="1793" max="1793" width="4.9765625" style="1073" customWidth="1"/>
    <col min="1794" max="1794" width="17.21875" style="1073" customWidth="1"/>
    <col min="1795" max="1795" width="10.0859375" style="1073" customWidth="1"/>
    <col min="1796" max="1796" width="9.68359375" style="1073" customWidth="1"/>
    <col min="1797" max="1814" width="9.28125" style="1073" customWidth="1"/>
    <col min="1815" max="2048" width="5.37890625" style="1073"/>
    <col min="2049" max="2049" width="4.9765625" style="1073" customWidth="1"/>
    <col min="2050" max="2050" width="17.21875" style="1073" customWidth="1"/>
    <col min="2051" max="2051" width="10.0859375" style="1073" customWidth="1"/>
    <col min="2052" max="2052" width="9.68359375" style="1073" customWidth="1"/>
    <col min="2053" max="2070" width="9.28125" style="1073" customWidth="1"/>
    <col min="2071" max="2304" width="5.37890625" style="1073"/>
    <col min="2305" max="2305" width="4.9765625" style="1073" customWidth="1"/>
    <col min="2306" max="2306" width="17.21875" style="1073" customWidth="1"/>
    <col min="2307" max="2307" width="10.0859375" style="1073" customWidth="1"/>
    <col min="2308" max="2308" width="9.68359375" style="1073" customWidth="1"/>
    <col min="2309" max="2326" width="9.28125" style="1073" customWidth="1"/>
    <col min="2327" max="2560" width="5.37890625" style="1073"/>
    <col min="2561" max="2561" width="4.9765625" style="1073" customWidth="1"/>
    <col min="2562" max="2562" width="17.21875" style="1073" customWidth="1"/>
    <col min="2563" max="2563" width="10.0859375" style="1073" customWidth="1"/>
    <col min="2564" max="2564" width="9.68359375" style="1073" customWidth="1"/>
    <col min="2565" max="2582" width="9.28125" style="1073" customWidth="1"/>
    <col min="2583" max="2816" width="5.37890625" style="1073"/>
    <col min="2817" max="2817" width="4.9765625" style="1073" customWidth="1"/>
    <col min="2818" max="2818" width="17.21875" style="1073" customWidth="1"/>
    <col min="2819" max="2819" width="10.0859375" style="1073" customWidth="1"/>
    <col min="2820" max="2820" width="9.68359375" style="1073" customWidth="1"/>
    <col min="2821" max="2838" width="9.28125" style="1073" customWidth="1"/>
    <col min="2839" max="3072" width="5.37890625" style="1073"/>
    <col min="3073" max="3073" width="4.9765625" style="1073" customWidth="1"/>
    <col min="3074" max="3074" width="17.21875" style="1073" customWidth="1"/>
    <col min="3075" max="3075" width="10.0859375" style="1073" customWidth="1"/>
    <col min="3076" max="3076" width="9.68359375" style="1073" customWidth="1"/>
    <col min="3077" max="3094" width="9.28125" style="1073" customWidth="1"/>
    <col min="3095" max="3328" width="5.37890625" style="1073"/>
    <col min="3329" max="3329" width="4.9765625" style="1073" customWidth="1"/>
    <col min="3330" max="3330" width="17.21875" style="1073" customWidth="1"/>
    <col min="3331" max="3331" width="10.0859375" style="1073" customWidth="1"/>
    <col min="3332" max="3332" width="9.68359375" style="1073" customWidth="1"/>
    <col min="3333" max="3350" width="9.28125" style="1073" customWidth="1"/>
    <col min="3351" max="3584" width="5.37890625" style="1073"/>
    <col min="3585" max="3585" width="4.9765625" style="1073" customWidth="1"/>
    <col min="3586" max="3586" width="17.21875" style="1073" customWidth="1"/>
    <col min="3587" max="3587" width="10.0859375" style="1073" customWidth="1"/>
    <col min="3588" max="3588" width="9.68359375" style="1073" customWidth="1"/>
    <col min="3589" max="3606" width="9.28125" style="1073" customWidth="1"/>
    <col min="3607" max="3840" width="5.37890625" style="1073"/>
    <col min="3841" max="3841" width="4.9765625" style="1073" customWidth="1"/>
    <col min="3842" max="3842" width="17.21875" style="1073" customWidth="1"/>
    <col min="3843" max="3843" width="10.0859375" style="1073" customWidth="1"/>
    <col min="3844" max="3844" width="9.68359375" style="1073" customWidth="1"/>
    <col min="3845" max="3862" width="9.28125" style="1073" customWidth="1"/>
    <col min="3863" max="4096" width="5.37890625" style="1073"/>
    <col min="4097" max="4097" width="4.9765625" style="1073" customWidth="1"/>
    <col min="4098" max="4098" width="17.21875" style="1073" customWidth="1"/>
    <col min="4099" max="4099" width="10.0859375" style="1073" customWidth="1"/>
    <col min="4100" max="4100" width="9.68359375" style="1073" customWidth="1"/>
    <col min="4101" max="4118" width="9.28125" style="1073" customWidth="1"/>
    <col min="4119" max="4352" width="5.37890625" style="1073"/>
    <col min="4353" max="4353" width="4.9765625" style="1073" customWidth="1"/>
    <col min="4354" max="4354" width="17.21875" style="1073" customWidth="1"/>
    <col min="4355" max="4355" width="10.0859375" style="1073" customWidth="1"/>
    <col min="4356" max="4356" width="9.68359375" style="1073" customWidth="1"/>
    <col min="4357" max="4374" width="9.28125" style="1073" customWidth="1"/>
    <col min="4375" max="4608" width="5.37890625" style="1073"/>
    <col min="4609" max="4609" width="4.9765625" style="1073" customWidth="1"/>
    <col min="4610" max="4610" width="17.21875" style="1073" customWidth="1"/>
    <col min="4611" max="4611" width="10.0859375" style="1073" customWidth="1"/>
    <col min="4612" max="4612" width="9.68359375" style="1073" customWidth="1"/>
    <col min="4613" max="4630" width="9.28125" style="1073" customWidth="1"/>
    <col min="4631" max="4864" width="5.37890625" style="1073"/>
    <col min="4865" max="4865" width="4.9765625" style="1073" customWidth="1"/>
    <col min="4866" max="4866" width="17.21875" style="1073" customWidth="1"/>
    <col min="4867" max="4867" width="10.0859375" style="1073" customWidth="1"/>
    <col min="4868" max="4868" width="9.68359375" style="1073" customWidth="1"/>
    <col min="4869" max="4886" width="9.28125" style="1073" customWidth="1"/>
    <col min="4887" max="5120" width="5.37890625" style="1073"/>
    <col min="5121" max="5121" width="4.9765625" style="1073" customWidth="1"/>
    <col min="5122" max="5122" width="17.21875" style="1073" customWidth="1"/>
    <col min="5123" max="5123" width="10.0859375" style="1073" customWidth="1"/>
    <col min="5124" max="5124" width="9.68359375" style="1073" customWidth="1"/>
    <col min="5125" max="5142" width="9.28125" style="1073" customWidth="1"/>
    <col min="5143" max="5376" width="5.37890625" style="1073"/>
    <col min="5377" max="5377" width="4.9765625" style="1073" customWidth="1"/>
    <col min="5378" max="5378" width="17.21875" style="1073" customWidth="1"/>
    <col min="5379" max="5379" width="10.0859375" style="1073" customWidth="1"/>
    <col min="5380" max="5380" width="9.68359375" style="1073" customWidth="1"/>
    <col min="5381" max="5398" width="9.28125" style="1073" customWidth="1"/>
    <col min="5399" max="5632" width="5.37890625" style="1073"/>
    <col min="5633" max="5633" width="4.9765625" style="1073" customWidth="1"/>
    <col min="5634" max="5634" width="17.21875" style="1073" customWidth="1"/>
    <col min="5635" max="5635" width="10.0859375" style="1073" customWidth="1"/>
    <col min="5636" max="5636" width="9.68359375" style="1073" customWidth="1"/>
    <col min="5637" max="5654" width="9.28125" style="1073" customWidth="1"/>
    <col min="5655" max="5888" width="5.37890625" style="1073"/>
    <col min="5889" max="5889" width="4.9765625" style="1073" customWidth="1"/>
    <col min="5890" max="5890" width="17.21875" style="1073" customWidth="1"/>
    <col min="5891" max="5891" width="10.0859375" style="1073" customWidth="1"/>
    <col min="5892" max="5892" width="9.68359375" style="1073" customWidth="1"/>
    <col min="5893" max="5910" width="9.28125" style="1073" customWidth="1"/>
    <col min="5911" max="6144" width="5.37890625" style="1073"/>
    <col min="6145" max="6145" width="4.9765625" style="1073" customWidth="1"/>
    <col min="6146" max="6146" width="17.21875" style="1073" customWidth="1"/>
    <col min="6147" max="6147" width="10.0859375" style="1073" customWidth="1"/>
    <col min="6148" max="6148" width="9.68359375" style="1073" customWidth="1"/>
    <col min="6149" max="6166" width="9.28125" style="1073" customWidth="1"/>
    <col min="6167" max="6400" width="5.37890625" style="1073"/>
    <col min="6401" max="6401" width="4.9765625" style="1073" customWidth="1"/>
    <col min="6402" max="6402" width="17.21875" style="1073" customWidth="1"/>
    <col min="6403" max="6403" width="10.0859375" style="1073" customWidth="1"/>
    <col min="6404" max="6404" width="9.68359375" style="1073" customWidth="1"/>
    <col min="6405" max="6422" width="9.28125" style="1073" customWidth="1"/>
    <col min="6423" max="6656" width="5.37890625" style="1073"/>
    <col min="6657" max="6657" width="4.9765625" style="1073" customWidth="1"/>
    <col min="6658" max="6658" width="17.21875" style="1073" customWidth="1"/>
    <col min="6659" max="6659" width="10.0859375" style="1073" customWidth="1"/>
    <col min="6660" max="6660" width="9.68359375" style="1073" customWidth="1"/>
    <col min="6661" max="6678" width="9.28125" style="1073" customWidth="1"/>
    <col min="6679" max="6912" width="5.37890625" style="1073"/>
    <col min="6913" max="6913" width="4.9765625" style="1073" customWidth="1"/>
    <col min="6914" max="6914" width="17.21875" style="1073" customWidth="1"/>
    <col min="6915" max="6915" width="10.0859375" style="1073" customWidth="1"/>
    <col min="6916" max="6916" width="9.68359375" style="1073" customWidth="1"/>
    <col min="6917" max="6934" width="9.28125" style="1073" customWidth="1"/>
    <col min="6935" max="7168" width="5.37890625" style="1073"/>
    <col min="7169" max="7169" width="4.9765625" style="1073" customWidth="1"/>
    <col min="7170" max="7170" width="17.21875" style="1073" customWidth="1"/>
    <col min="7171" max="7171" width="10.0859375" style="1073" customWidth="1"/>
    <col min="7172" max="7172" width="9.68359375" style="1073" customWidth="1"/>
    <col min="7173" max="7190" width="9.28125" style="1073" customWidth="1"/>
    <col min="7191" max="7424" width="5.37890625" style="1073"/>
    <col min="7425" max="7425" width="4.9765625" style="1073" customWidth="1"/>
    <col min="7426" max="7426" width="17.21875" style="1073" customWidth="1"/>
    <col min="7427" max="7427" width="10.0859375" style="1073" customWidth="1"/>
    <col min="7428" max="7428" width="9.68359375" style="1073" customWidth="1"/>
    <col min="7429" max="7446" width="9.28125" style="1073" customWidth="1"/>
    <col min="7447" max="7680" width="5.37890625" style="1073"/>
    <col min="7681" max="7681" width="4.9765625" style="1073" customWidth="1"/>
    <col min="7682" max="7682" width="17.21875" style="1073" customWidth="1"/>
    <col min="7683" max="7683" width="10.0859375" style="1073" customWidth="1"/>
    <col min="7684" max="7684" width="9.68359375" style="1073" customWidth="1"/>
    <col min="7685" max="7702" width="9.28125" style="1073" customWidth="1"/>
    <col min="7703" max="7936" width="5.37890625" style="1073"/>
    <col min="7937" max="7937" width="4.9765625" style="1073" customWidth="1"/>
    <col min="7938" max="7938" width="17.21875" style="1073" customWidth="1"/>
    <col min="7939" max="7939" width="10.0859375" style="1073" customWidth="1"/>
    <col min="7940" max="7940" width="9.68359375" style="1073" customWidth="1"/>
    <col min="7941" max="7958" width="9.28125" style="1073" customWidth="1"/>
    <col min="7959" max="8192" width="5.37890625" style="1073"/>
    <col min="8193" max="8193" width="4.9765625" style="1073" customWidth="1"/>
    <col min="8194" max="8194" width="17.21875" style="1073" customWidth="1"/>
    <col min="8195" max="8195" width="10.0859375" style="1073" customWidth="1"/>
    <col min="8196" max="8196" width="9.68359375" style="1073" customWidth="1"/>
    <col min="8197" max="8214" width="9.28125" style="1073" customWidth="1"/>
    <col min="8215" max="8448" width="5.37890625" style="1073"/>
    <col min="8449" max="8449" width="4.9765625" style="1073" customWidth="1"/>
    <col min="8450" max="8450" width="17.21875" style="1073" customWidth="1"/>
    <col min="8451" max="8451" width="10.0859375" style="1073" customWidth="1"/>
    <col min="8452" max="8452" width="9.68359375" style="1073" customWidth="1"/>
    <col min="8453" max="8470" width="9.28125" style="1073" customWidth="1"/>
    <col min="8471" max="8704" width="5.37890625" style="1073"/>
    <col min="8705" max="8705" width="4.9765625" style="1073" customWidth="1"/>
    <col min="8706" max="8706" width="17.21875" style="1073" customWidth="1"/>
    <col min="8707" max="8707" width="10.0859375" style="1073" customWidth="1"/>
    <col min="8708" max="8708" width="9.68359375" style="1073" customWidth="1"/>
    <col min="8709" max="8726" width="9.28125" style="1073" customWidth="1"/>
    <col min="8727" max="8960" width="5.37890625" style="1073"/>
    <col min="8961" max="8961" width="4.9765625" style="1073" customWidth="1"/>
    <col min="8962" max="8962" width="17.21875" style="1073" customWidth="1"/>
    <col min="8963" max="8963" width="10.0859375" style="1073" customWidth="1"/>
    <col min="8964" max="8964" width="9.68359375" style="1073" customWidth="1"/>
    <col min="8965" max="8982" width="9.28125" style="1073" customWidth="1"/>
    <col min="8983" max="9216" width="5.37890625" style="1073"/>
    <col min="9217" max="9217" width="4.9765625" style="1073" customWidth="1"/>
    <col min="9218" max="9218" width="17.21875" style="1073" customWidth="1"/>
    <col min="9219" max="9219" width="10.0859375" style="1073" customWidth="1"/>
    <col min="9220" max="9220" width="9.68359375" style="1073" customWidth="1"/>
    <col min="9221" max="9238" width="9.28125" style="1073" customWidth="1"/>
    <col min="9239" max="9472" width="5.37890625" style="1073"/>
    <col min="9473" max="9473" width="4.9765625" style="1073" customWidth="1"/>
    <col min="9474" max="9474" width="17.21875" style="1073" customWidth="1"/>
    <col min="9475" max="9475" width="10.0859375" style="1073" customWidth="1"/>
    <col min="9476" max="9476" width="9.68359375" style="1073" customWidth="1"/>
    <col min="9477" max="9494" width="9.28125" style="1073" customWidth="1"/>
    <col min="9495" max="9728" width="5.37890625" style="1073"/>
    <col min="9729" max="9729" width="4.9765625" style="1073" customWidth="1"/>
    <col min="9730" max="9730" width="17.21875" style="1073" customWidth="1"/>
    <col min="9731" max="9731" width="10.0859375" style="1073" customWidth="1"/>
    <col min="9732" max="9732" width="9.68359375" style="1073" customWidth="1"/>
    <col min="9733" max="9750" width="9.28125" style="1073" customWidth="1"/>
    <col min="9751" max="9984" width="5.37890625" style="1073"/>
    <col min="9985" max="9985" width="4.9765625" style="1073" customWidth="1"/>
    <col min="9986" max="9986" width="17.21875" style="1073" customWidth="1"/>
    <col min="9987" max="9987" width="10.0859375" style="1073" customWidth="1"/>
    <col min="9988" max="9988" width="9.68359375" style="1073" customWidth="1"/>
    <col min="9989" max="10006" width="9.28125" style="1073" customWidth="1"/>
    <col min="10007" max="10240" width="5.37890625" style="1073"/>
    <col min="10241" max="10241" width="4.9765625" style="1073" customWidth="1"/>
    <col min="10242" max="10242" width="17.21875" style="1073" customWidth="1"/>
    <col min="10243" max="10243" width="10.0859375" style="1073" customWidth="1"/>
    <col min="10244" max="10244" width="9.68359375" style="1073" customWidth="1"/>
    <col min="10245" max="10262" width="9.28125" style="1073" customWidth="1"/>
    <col min="10263" max="10496" width="5.37890625" style="1073"/>
    <col min="10497" max="10497" width="4.9765625" style="1073" customWidth="1"/>
    <col min="10498" max="10498" width="17.21875" style="1073" customWidth="1"/>
    <col min="10499" max="10499" width="10.0859375" style="1073" customWidth="1"/>
    <col min="10500" max="10500" width="9.68359375" style="1073" customWidth="1"/>
    <col min="10501" max="10518" width="9.28125" style="1073" customWidth="1"/>
    <col min="10519" max="10752" width="5.37890625" style="1073"/>
    <col min="10753" max="10753" width="4.9765625" style="1073" customWidth="1"/>
    <col min="10754" max="10754" width="17.21875" style="1073" customWidth="1"/>
    <col min="10755" max="10755" width="10.0859375" style="1073" customWidth="1"/>
    <col min="10756" max="10756" width="9.68359375" style="1073" customWidth="1"/>
    <col min="10757" max="10774" width="9.28125" style="1073" customWidth="1"/>
    <col min="10775" max="11008" width="5.37890625" style="1073"/>
    <col min="11009" max="11009" width="4.9765625" style="1073" customWidth="1"/>
    <col min="11010" max="11010" width="17.21875" style="1073" customWidth="1"/>
    <col min="11011" max="11011" width="10.0859375" style="1073" customWidth="1"/>
    <col min="11012" max="11012" width="9.68359375" style="1073" customWidth="1"/>
    <col min="11013" max="11030" width="9.28125" style="1073" customWidth="1"/>
    <col min="11031" max="11264" width="5.37890625" style="1073"/>
    <col min="11265" max="11265" width="4.9765625" style="1073" customWidth="1"/>
    <col min="11266" max="11266" width="17.21875" style="1073" customWidth="1"/>
    <col min="11267" max="11267" width="10.0859375" style="1073" customWidth="1"/>
    <col min="11268" max="11268" width="9.68359375" style="1073" customWidth="1"/>
    <col min="11269" max="11286" width="9.28125" style="1073" customWidth="1"/>
    <col min="11287" max="11520" width="5.37890625" style="1073"/>
    <col min="11521" max="11521" width="4.9765625" style="1073" customWidth="1"/>
    <col min="11522" max="11522" width="17.21875" style="1073" customWidth="1"/>
    <col min="11523" max="11523" width="10.0859375" style="1073" customWidth="1"/>
    <col min="11524" max="11524" width="9.68359375" style="1073" customWidth="1"/>
    <col min="11525" max="11542" width="9.28125" style="1073" customWidth="1"/>
    <col min="11543" max="11776" width="5.37890625" style="1073"/>
    <col min="11777" max="11777" width="4.9765625" style="1073" customWidth="1"/>
    <col min="11778" max="11778" width="17.21875" style="1073" customWidth="1"/>
    <col min="11779" max="11779" width="10.0859375" style="1073" customWidth="1"/>
    <col min="11780" max="11780" width="9.68359375" style="1073" customWidth="1"/>
    <col min="11781" max="11798" width="9.28125" style="1073" customWidth="1"/>
    <col min="11799" max="12032" width="5.37890625" style="1073"/>
    <col min="12033" max="12033" width="4.9765625" style="1073" customWidth="1"/>
    <col min="12034" max="12034" width="17.21875" style="1073" customWidth="1"/>
    <col min="12035" max="12035" width="10.0859375" style="1073" customWidth="1"/>
    <col min="12036" max="12036" width="9.68359375" style="1073" customWidth="1"/>
    <col min="12037" max="12054" width="9.28125" style="1073" customWidth="1"/>
    <col min="12055" max="12288" width="5.37890625" style="1073"/>
    <col min="12289" max="12289" width="4.9765625" style="1073" customWidth="1"/>
    <col min="12290" max="12290" width="17.21875" style="1073" customWidth="1"/>
    <col min="12291" max="12291" width="10.0859375" style="1073" customWidth="1"/>
    <col min="12292" max="12292" width="9.68359375" style="1073" customWidth="1"/>
    <col min="12293" max="12310" width="9.28125" style="1073" customWidth="1"/>
    <col min="12311" max="12544" width="5.37890625" style="1073"/>
    <col min="12545" max="12545" width="4.9765625" style="1073" customWidth="1"/>
    <col min="12546" max="12546" width="17.21875" style="1073" customWidth="1"/>
    <col min="12547" max="12547" width="10.0859375" style="1073" customWidth="1"/>
    <col min="12548" max="12548" width="9.68359375" style="1073" customWidth="1"/>
    <col min="12549" max="12566" width="9.28125" style="1073" customWidth="1"/>
    <col min="12567" max="12800" width="5.37890625" style="1073"/>
    <col min="12801" max="12801" width="4.9765625" style="1073" customWidth="1"/>
    <col min="12802" max="12802" width="17.21875" style="1073" customWidth="1"/>
    <col min="12803" max="12803" width="10.0859375" style="1073" customWidth="1"/>
    <col min="12804" max="12804" width="9.68359375" style="1073" customWidth="1"/>
    <col min="12805" max="12822" width="9.28125" style="1073" customWidth="1"/>
    <col min="12823" max="13056" width="5.37890625" style="1073"/>
    <col min="13057" max="13057" width="4.9765625" style="1073" customWidth="1"/>
    <col min="13058" max="13058" width="17.21875" style="1073" customWidth="1"/>
    <col min="13059" max="13059" width="10.0859375" style="1073" customWidth="1"/>
    <col min="13060" max="13060" width="9.68359375" style="1073" customWidth="1"/>
    <col min="13061" max="13078" width="9.28125" style="1073" customWidth="1"/>
    <col min="13079" max="13312" width="5.37890625" style="1073"/>
    <col min="13313" max="13313" width="4.9765625" style="1073" customWidth="1"/>
    <col min="13314" max="13314" width="17.21875" style="1073" customWidth="1"/>
    <col min="13315" max="13315" width="10.0859375" style="1073" customWidth="1"/>
    <col min="13316" max="13316" width="9.68359375" style="1073" customWidth="1"/>
    <col min="13317" max="13334" width="9.28125" style="1073" customWidth="1"/>
    <col min="13335" max="13568" width="5.37890625" style="1073"/>
    <col min="13569" max="13569" width="4.9765625" style="1073" customWidth="1"/>
    <col min="13570" max="13570" width="17.21875" style="1073" customWidth="1"/>
    <col min="13571" max="13571" width="10.0859375" style="1073" customWidth="1"/>
    <col min="13572" max="13572" width="9.68359375" style="1073" customWidth="1"/>
    <col min="13573" max="13590" width="9.28125" style="1073" customWidth="1"/>
    <col min="13591" max="13824" width="5.37890625" style="1073"/>
    <col min="13825" max="13825" width="4.9765625" style="1073" customWidth="1"/>
    <col min="13826" max="13826" width="17.21875" style="1073" customWidth="1"/>
    <col min="13827" max="13827" width="10.0859375" style="1073" customWidth="1"/>
    <col min="13828" max="13828" width="9.68359375" style="1073" customWidth="1"/>
    <col min="13829" max="13846" width="9.28125" style="1073" customWidth="1"/>
    <col min="13847" max="14080" width="5.37890625" style="1073"/>
    <col min="14081" max="14081" width="4.9765625" style="1073" customWidth="1"/>
    <col min="14082" max="14082" width="17.21875" style="1073" customWidth="1"/>
    <col min="14083" max="14083" width="10.0859375" style="1073" customWidth="1"/>
    <col min="14084" max="14084" width="9.68359375" style="1073" customWidth="1"/>
    <col min="14085" max="14102" width="9.28125" style="1073" customWidth="1"/>
    <col min="14103" max="14336" width="5.37890625" style="1073"/>
    <col min="14337" max="14337" width="4.9765625" style="1073" customWidth="1"/>
    <col min="14338" max="14338" width="17.21875" style="1073" customWidth="1"/>
    <col min="14339" max="14339" width="10.0859375" style="1073" customWidth="1"/>
    <col min="14340" max="14340" width="9.68359375" style="1073" customWidth="1"/>
    <col min="14341" max="14358" width="9.28125" style="1073" customWidth="1"/>
    <col min="14359" max="14592" width="5.37890625" style="1073"/>
    <col min="14593" max="14593" width="4.9765625" style="1073" customWidth="1"/>
    <col min="14594" max="14594" width="17.21875" style="1073" customWidth="1"/>
    <col min="14595" max="14595" width="10.0859375" style="1073" customWidth="1"/>
    <col min="14596" max="14596" width="9.68359375" style="1073" customWidth="1"/>
    <col min="14597" max="14614" width="9.28125" style="1073" customWidth="1"/>
    <col min="14615" max="14848" width="5.37890625" style="1073"/>
    <col min="14849" max="14849" width="4.9765625" style="1073" customWidth="1"/>
    <col min="14850" max="14850" width="17.21875" style="1073" customWidth="1"/>
    <col min="14851" max="14851" width="10.0859375" style="1073" customWidth="1"/>
    <col min="14852" max="14852" width="9.68359375" style="1073" customWidth="1"/>
    <col min="14853" max="14870" width="9.28125" style="1073" customWidth="1"/>
    <col min="14871" max="15104" width="5.37890625" style="1073"/>
    <col min="15105" max="15105" width="4.9765625" style="1073" customWidth="1"/>
    <col min="15106" max="15106" width="17.21875" style="1073" customWidth="1"/>
    <col min="15107" max="15107" width="10.0859375" style="1073" customWidth="1"/>
    <col min="15108" max="15108" width="9.68359375" style="1073" customWidth="1"/>
    <col min="15109" max="15126" width="9.28125" style="1073" customWidth="1"/>
    <col min="15127" max="15360" width="5.37890625" style="1073"/>
    <col min="15361" max="15361" width="4.9765625" style="1073" customWidth="1"/>
    <col min="15362" max="15362" width="17.21875" style="1073" customWidth="1"/>
    <col min="15363" max="15363" width="10.0859375" style="1073" customWidth="1"/>
    <col min="15364" max="15364" width="9.68359375" style="1073" customWidth="1"/>
    <col min="15365" max="15382" width="9.28125" style="1073" customWidth="1"/>
    <col min="15383" max="15616" width="5.37890625" style="1073"/>
    <col min="15617" max="15617" width="4.9765625" style="1073" customWidth="1"/>
    <col min="15618" max="15618" width="17.21875" style="1073" customWidth="1"/>
    <col min="15619" max="15619" width="10.0859375" style="1073" customWidth="1"/>
    <col min="15620" max="15620" width="9.68359375" style="1073" customWidth="1"/>
    <col min="15621" max="15638" width="9.28125" style="1073" customWidth="1"/>
    <col min="15639" max="15872" width="5.37890625" style="1073"/>
    <col min="15873" max="15873" width="4.9765625" style="1073" customWidth="1"/>
    <col min="15874" max="15874" width="17.21875" style="1073" customWidth="1"/>
    <col min="15875" max="15875" width="10.0859375" style="1073" customWidth="1"/>
    <col min="15876" max="15876" width="9.68359375" style="1073" customWidth="1"/>
    <col min="15877" max="15894" width="9.28125" style="1073" customWidth="1"/>
    <col min="15895" max="16128" width="5.37890625" style="1073"/>
    <col min="16129" max="16129" width="4.9765625" style="1073" customWidth="1"/>
    <col min="16130" max="16130" width="17.21875" style="1073" customWidth="1"/>
    <col min="16131" max="16131" width="10.0859375" style="1073" customWidth="1"/>
    <col min="16132" max="16132" width="9.68359375" style="1073" customWidth="1"/>
    <col min="16133" max="16150" width="9.28125" style="1073" customWidth="1"/>
    <col min="16151" max="16384" width="5.37890625" style="1073"/>
  </cols>
  <sheetData>
    <row r="1" spans="1:22" s="1065" customFormat="1" ht="25.5" customHeight="1">
      <c r="A1" s="1916" t="s">
        <v>742</v>
      </c>
      <c r="B1" s="1916"/>
      <c r="C1" s="1916"/>
      <c r="D1" s="1916"/>
      <c r="E1" s="1916"/>
      <c r="F1" s="1916"/>
      <c r="G1" s="1916"/>
      <c r="H1" s="1916"/>
      <c r="I1" s="1916"/>
      <c r="J1" s="1916"/>
      <c r="K1" s="1916"/>
      <c r="L1" s="1916"/>
      <c r="M1" s="1916"/>
      <c r="N1" s="1916"/>
      <c r="O1" s="1916"/>
      <c r="P1" s="1916"/>
      <c r="Q1" s="1916"/>
      <c r="R1" s="1916"/>
      <c r="S1" s="1916"/>
      <c r="T1" s="1916"/>
      <c r="U1" s="1916"/>
      <c r="V1" s="1916"/>
    </row>
    <row r="2" spans="1:22" s="1065" customFormat="1" ht="24" customHeight="1">
      <c r="A2" s="1066"/>
      <c r="B2" s="1066"/>
      <c r="C2" s="1066"/>
      <c r="D2" s="1066"/>
      <c r="E2" s="1066"/>
      <c r="F2" s="1066"/>
      <c r="G2" s="1066"/>
      <c r="H2" s="1066"/>
      <c r="I2" s="1066"/>
      <c r="J2" s="1066"/>
      <c r="K2" s="1066"/>
      <c r="L2" s="1066"/>
      <c r="M2" s="1066"/>
      <c r="N2" s="1066"/>
      <c r="O2" s="1066"/>
      <c r="P2" s="1066"/>
      <c r="Q2" s="1066"/>
      <c r="R2" s="1066"/>
      <c r="S2" s="1066"/>
      <c r="T2" s="1066"/>
      <c r="U2" s="1066"/>
      <c r="V2" s="1066"/>
    </row>
    <row r="3" spans="1:22" s="1065" customFormat="1" ht="31.5" customHeight="1">
      <c r="A3" s="1066"/>
      <c r="B3" s="1066"/>
      <c r="C3" s="1917" t="s">
        <v>743</v>
      </c>
      <c r="D3" s="1918"/>
      <c r="E3" s="1918"/>
      <c r="F3" s="1918"/>
      <c r="G3" s="1918"/>
      <c r="H3" s="1918"/>
      <c r="I3" s="1918"/>
      <c r="J3" s="1918"/>
      <c r="K3" s="1918"/>
      <c r="L3" s="1918"/>
      <c r="M3" s="1918"/>
      <c r="N3" s="1918"/>
      <c r="O3" s="1918"/>
      <c r="P3" s="1918"/>
      <c r="Q3" s="1918"/>
      <c r="R3" s="1918"/>
      <c r="S3" s="1918"/>
      <c r="T3" s="1918"/>
      <c r="U3" s="1918"/>
      <c r="V3" s="1918"/>
    </row>
    <row r="4" spans="1:22" s="1065" customFormat="1" ht="22.5" customHeight="1">
      <c r="A4" s="1066"/>
      <c r="B4" s="1066"/>
      <c r="C4" s="1919" t="s">
        <v>744</v>
      </c>
      <c r="D4" s="1918"/>
      <c r="E4" s="1918"/>
      <c r="F4" s="1918"/>
      <c r="G4" s="1918"/>
      <c r="H4" s="1918"/>
      <c r="I4" s="1918"/>
      <c r="J4" s="1918"/>
      <c r="K4" s="1918"/>
      <c r="L4" s="1918"/>
      <c r="M4" s="1918"/>
      <c r="N4" s="1918"/>
      <c r="O4" s="1918"/>
      <c r="P4" s="1918"/>
      <c r="Q4" s="1918"/>
      <c r="R4" s="1918"/>
      <c r="S4" s="1918"/>
      <c r="T4" s="1918"/>
      <c r="U4" s="1918"/>
      <c r="V4" s="1918"/>
    </row>
    <row r="5" spans="1:22" s="1065" customFormat="1" ht="32.25" customHeight="1">
      <c r="A5" s="1066"/>
      <c r="B5" s="1066"/>
      <c r="C5" s="1919" t="s">
        <v>745</v>
      </c>
      <c r="D5" s="1918"/>
      <c r="E5" s="1918"/>
      <c r="F5" s="1918"/>
      <c r="G5" s="1918"/>
      <c r="H5" s="1918"/>
      <c r="I5" s="1918"/>
      <c r="J5" s="1918"/>
      <c r="K5" s="1918"/>
      <c r="L5" s="1918"/>
      <c r="M5" s="1918"/>
      <c r="N5" s="1918"/>
      <c r="O5" s="1918"/>
      <c r="P5" s="1918"/>
      <c r="Q5" s="1918"/>
      <c r="R5" s="1918"/>
      <c r="S5" s="1918"/>
      <c r="T5" s="1918"/>
      <c r="U5" s="1918"/>
      <c r="V5" s="1918"/>
    </row>
    <row r="6" spans="1:22" s="1065" customFormat="1" ht="22.5" customHeight="1">
      <c r="A6" s="1066"/>
      <c r="B6" s="1066"/>
      <c r="C6" s="1919" t="s">
        <v>746</v>
      </c>
      <c r="D6" s="1918"/>
      <c r="E6" s="1918"/>
      <c r="F6" s="1918"/>
      <c r="G6" s="1918"/>
      <c r="H6" s="1918"/>
      <c r="I6" s="1918"/>
      <c r="J6" s="1918"/>
      <c r="K6" s="1918"/>
      <c r="L6" s="1918"/>
      <c r="M6" s="1918"/>
      <c r="N6" s="1918"/>
      <c r="O6" s="1918"/>
      <c r="P6" s="1918"/>
      <c r="Q6" s="1918"/>
      <c r="R6" s="1918"/>
      <c r="S6" s="1918"/>
      <c r="T6" s="1918"/>
      <c r="U6" s="1918"/>
      <c r="V6" s="1918"/>
    </row>
    <row r="7" spans="1:22" s="1065" customFormat="1" ht="36.75" customHeight="1">
      <c r="A7" s="1066"/>
      <c r="B7" s="1066"/>
      <c r="C7" s="1919" t="s">
        <v>747</v>
      </c>
      <c r="D7" s="1918"/>
      <c r="E7" s="1918"/>
      <c r="F7" s="1918"/>
      <c r="G7" s="1918"/>
      <c r="H7" s="1918"/>
      <c r="I7" s="1918"/>
      <c r="J7" s="1918"/>
      <c r="K7" s="1918"/>
      <c r="L7" s="1918"/>
      <c r="M7" s="1918"/>
      <c r="N7" s="1918"/>
      <c r="O7" s="1918"/>
      <c r="P7" s="1918"/>
      <c r="Q7" s="1918"/>
      <c r="R7" s="1918"/>
      <c r="S7" s="1918"/>
      <c r="T7" s="1918"/>
      <c r="U7" s="1918"/>
      <c r="V7" s="1918"/>
    </row>
    <row r="8" spans="1:22" s="1065" customFormat="1" ht="72.95" customHeight="1">
      <c r="A8" s="1066"/>
      <c r="B8" s="1066"/>
      <c r="C8" s="1924" t="s">
        <v>1149</v>
      </c>
      <c r="D8" s="1918"/>
      <c r="E8" s="1918"/>
      <c r="F8" s="1918"/>
      <c r="G8" s="1918"/>
      <c r="H8" s="1918"/>
      <c r="I8" s="1918"/>
      <c r="J8" s="1918"/>
      <c r="K8" s="1918"/>
      <c r="L8" s="1918"/>
      <c r="M8" s="1918"/>
      <c r="N8" s="1918"/>
      <c r="O8" s="1918"/>
      <c r="P8" s="1918"/>
      <c r="Q8" s="1918"/>
      <c r="R8" s="1918"/>
      <c r="S8" s="1918"/>
      <c r="T8" s="1918"/>
      <c r="U8" s="1918"/>
      <c r="V8" s="1918"/>
    </row>
    <row r="9" spans="1:22" s="1065" customFormat="1" ht="48.75" customHeight="1">
      <c r="A9" s="1066"/>
      <c r="B9" s="1066"/>
      <c r="C9" s="1919" t="s">
        <v>748</v>
      </c>
      <c r="D9" s="1918"/>
      <c r="E9" s="1918"/>
      <c r="F9" s="1918"/>
      <c r="G9" s="1918"/>
      <c r="H9" s="1918"/>
      <c r="I9" s="1918"/>
      <c r="J9" s="1918"/>
      <c r="K9" s="1918"/>
      <c r="L9" s="1918"/>
      <c r="M9" s="1918"/>
      <c r="N9" s="1918"/>
      <c r="O9" s="1918"/>
      <c r="P9" s="1918"/>
      <c r="Q9" s="1918"/>
      <c r="R9" s="1918"/>
      <c r="S9" s="1918"/>
      <c r="T9" s="1918"/>
      <c r="U9" s="1918"/>
      <c r="V9" s="1918"/>
    </row>
    <row r="10" spans="1:22" s="1065" customFormat="1" ht="72" customHeight="1">
      <c r="A10" s="1066"/>
      <c r="B10" s="1066"/>
      <c r="C10" s="1924" t="s">
        <v>1150</v>
      </c>
      <c r="D10" s="1925"/>
      <c r="E10" s="1925"/>
      <c r="F10" s="1925"/>
      <c r="G10" s="1925"/>
      <c r="H10" s="1925"/>
      <c r="I10" s="1925"/>
      <c r="J10" s="1925"/>
      <c r="K10" s="1925"/>
      <c r="L10" s="1925"/>
      <c r="M10" s="1925"/>
      <c r="N10" s="1925"/>
      <c r="O10" s="1925"/>
      <c r="P10" s="1925"/>
      <c r="Q10" s="1925"/>
      <c r="R10" s="1925"/>
      <c r="S10" s="1925"/>
      <c r="T10" s="1925"/>
      <c r="U10" s="1925"/>
      <c r="V10" s="1925"/>
    </row>
    <row r="11" spans="1:22" s="1065" customFormat="1" ht="51.75" customHeight="1">
      <c r="A11" s="1066"/>
      <c r="B11" s="1066"/>
      <c r="C11" s="1919" t="s">
        <v>749</v>
      </c>
      <c r="D11" s="1918"/>
      <c r="E11" s="1918"/>
      <c r="F11" s="1918"/>
      <c r="G11" s="1918"/>
      <c r="H11" s="1918"/>
      <c r="I11" s="1918"/>
      <c r="J11" s="1918"/>
      <c r="K11" s="1918"/>
      <c r="L11" s="1918"/>
      <c r="M11" s="1918"/>
      <c r="N11" s="1918"/>
      <c r="O11" s="1918"/>
      <c r="P11" s="1918"/>
      <c r="Q11" s="1918"/>
      <c r="R11" s="1918"/>
      <c r="S11" s="1918"/>
      <c r="T11" s="1918"/>
      <c r="U11" s="1918"/>
      <c r="V11" s="1918"/>
    </row>
    <row r="12" spans="1:22" s="1065" customFormat="1" ht="43.5" customHeight="1">
      <c r="A12" s="1066"/>
      <c r="B12" s="1066"/>
      <c r="C12" s="1919" t="s">
        <v>1086</v>
      </c>
      <c r="D12" s="1918"/>
      <c r="E12" s="1918"/>
      <c r="F12" s="1918"/>
      <c r="G12" s="1918"/>
      <c r="H12" s="1918"/>
      <c r="I12" s="1918"/>
      <c r="J12" s="1918"/>
      <c r="K12" s="1918"/>
      <c r="L12" s="1918"/>
      <c r="M12" s="1918"/>
      <c r="N12" s="1918"/>
      <c r="O12" s="1918"/>
      <c r="P12" s="1918"/>
      <c r="Q12" s="1918"/>
      <c r="R12" s="1918"/>
      <c r="S12" s="1918"/>
      <c r="T12" s="1918"/>
      <c r="U12" s="1918"/>
      <c r="V12" s="1918"/>
    </row>
    <row r="13" spans="1:22" s="1065" customFormat="1" ht="27" customHeight="1" thickBot="1">
      <c r="A13" s="1067"/>
      <c r="B13" s="1067"/>
      <c r="C13" s="1067"/>
      <c r="D13" s="1926"/>
      <c r="E13" s="1926"/>
      <c r="F13" s="1926"/>
      <c r="G13" s="1926"/>
      <c r="H13" s="1926"/>
      <c r="I13" s="1926"/>
      <c r="J13" s="1926"/>
      <c r="K13" s="1926"/>
      <c r="L13" s="1926"/>
      <c r="M13" s="1926"/>
      <c r="N13" s="1926"/>
      <c r="O13" s="1926"/>
      <c r="P13" s="1926"/>
      <c r="Q13" s="1926"/>
      <c r="R13" s="1926"/>
      <c r="S13" s="1926"/>
      <c r="T13" s="1926"/>
      <c r="U13" s="1926"/>
      <c r="V13" s="1926"/>
    </row>
    <row r="14" spans="1:22" s="1065" customFormat="1" ht="24" customHeight="1" thickBot="1">
      <c r="A14" s="1920" t="s">
        <v>0</v>
      </c>
      <c r="B14" s="1912" t="s">
        <v>750</v>
      </c>
      <c r="C14" s="1921" t="s">
        <v>751</v>
      </c>
      <c r="D14" s="1912" t="s">
        <v>181</v>
      </c>
      <c r="E14" s="1912" t="s">
        <v>25</v>
      </c>
      <c r="F14" s="1923"/>
      <c r="G14" s="1912" t="s">
        <v>27</v>
      </c>
      <c r="H14" s="1923"/>
      <c r="I14" s="1912" t="s">
        <v>29</v>
      </c>
      <c r="J14" s="1923"/>
      <c r="K14" s="1912" t="s">
        <v>182</v>
      </c>
      <c r="L14" s="1923"/>
      <c r="M14" s="1923"/>
      <c r="N14" s="1923"/>
      <c r="O14" s="1923"/>
      <c r="P14" s="1923"/>
      <c r="Q14" s="1927" t="s">
        <v>183</v>
      </c>
      <c r="R14" s="1928"/>
      <c r="S14" s="1928"/>
      <c r="T14" s="1928"/>
      <c r="U14" s="1928"/>
      <c r="V14" s="1929"/>
    </row>
    <row r="15" spans="1:22" s="1065" customFormat="1" ht="27" customHeight="1" thickBot="1">
      <c r="A15" s="1920"/>
      <c r="B15" s="1912"/>
      <c r="C15" s="1922"/>
      <c r="D15" s="1923"/>
      <c r="E15" s="1923"/>
      <c r="F15" s="1923"/>
      <c r="G15" s="1923"/>
      <c r="H15" s="1923"/>
      <c r="I15" s="1923"/>
      <c r="J15" s="1923"/>
      <c r="K15" s="1912" t="s">
        <v>184</v>
      </c>
      <c r="L15" s="1912"/>
      <c r="M15" s="1912" t="s">
        <v>185</v>
      </c>
      <c r="N15" s="1912"/>
      <c r="O15" s="1912" t="s">
        <v>186</v>
      </c>
      <c r="P15" s="1912"/>
      <c r="Q15" s="1912" t="s">
        <v>184</v>
      </c>
      <c r="R15" s="1912"/>
      <c r="S15" s="1912" t="s">
        <v>185</v>
      </c>
      <c r="T15" s="1912"/>
      <c r="U15" s="1912" t="s">
        <v>186</v>
      </c>
      <c r="V15" s="1913"/>
    </row>
    <row r="16" spans="1:22" s="1065" customFormat="1" ht="39" customHeight="1" thickBot="1">
      <c r="A16" s="1920"/>
      <c r="B16" s="1912"/>
      <c r="C16" s="1911"/>
      <c r="D16" s="1923"/>
      <c r="E16" s="1068" t="s">
        <v>326</v>
      </c>
      <c r="F16" s="1068" t="s">
        <v>325</v>
      </c>
      <c r="G16" s="1068" t="s">
        <v>326</v>
      </c>
      <c r="H16" s="1068" t="s">
        <v>325</v>
      </c>
      <c r="I16" s="1068" t="s">
        <v>326</v>
      </c>
      <c r="J16" s="1068" t="s">
        <v>325</v>
      </c>
      <c r="K16" s="1068" t="s">
        <v>326</v>
      </c>
      <c r="L16" s="1068" t="s">
        <v>325</v>
      </c>
      <c r="M16" s="1068" t="s">
        <v>326</v>
      </c>
      <c r="N16" s="1068" t="s">
        <v>325</v>
      </c>
      <c r="O16" s="1068" t="s">
        <v>326</v>
      </c>
      <c r="P16" s="1068" t="s">
        <v>325</v>
      </c>
      <c r="Q16" s="1068" t="s">
        <v>326</v>
      </c>
      <c r="R16" s="1068" t="s">
        <v>325</v>
      </c>
      <c r="S16" s="1068" t="s">
        <v>326</v>
      </c>
      <c r="T16" s="1068" t="s">
        <v>325</v>
      </c>
      <c r="U16" s="1068" t="s">
        <v>326</v>
      </c>
      <c r="V16" s="1069" t="s">
        <v>325</v>
      </c>
    </row>
    <row r="17" spans="1:22" s="1065" customFormat="1" ht="20.25" thickBot="1">
      <c r="A17" s="1070">
        <v>1</v>
      </c>
      <c r="B17" s="1068">
        <f>A17+1</f>
        <v>2</v>
      </c>
      <c r="C17" s="1068">
        <f>B17+1</f>
        <v>3</v>
      </c>
      <c r="D17" s="1068">
        <f t="shared" ref="D17:U17" si="0">C17+1</f>
        <v>4</v>
      </c>
      <c r="E17" s="1068">
        <f t="shared" si="0"/>
        <v>5</v>
      </c>
      <c r="F17" s="1068">
        <f t="shared" si="0"/>
        <v>6</v>
      </c>
      <c r="G17" s="1068">
        <f t="shared" si="0"/>
        <v>7</v>
      </c>
      <c r="H17" s="1068">
        <f t="shared" si="0"/>
        <v>8</v>
      </c>
      <c r="I17" s="1068">
        <f t="shared" si="0"/>
        <v>9</v>
      </c>
      <c r="J17" s="1068">
        <f t="shared" si="0"/>
        <v>10</v>
      </c>
      <c r="K17" s="1068">
        <f t="shared" si="0"/>
        <v>11</v>
      </c>
      <c r="L17" s="1068">
        <f t="shared" si="0"/>
        <v>12</v>
      </c>
      <c r="M17" s="1068">
        <f t="shared" si="0"/>
        <v>13</v>
      </c>
      <c r="N17" s="1068">
        <f t="shared" si="0"/>
        <v>14</v>
      </c>
      <c r="O17" s="1068">
        <f t="shared" si="0"/>
        <v>15</v>
      </c>
      <c r="P17" s="1068">
        <f t="shared" si="0"/>
        <v>16</v>
      </c>
      <c r="Q17" s="1068">
        <f t="shared" si="0"/>
        <v>17</v>
      </c>
      <c r="R17" s="1068">
        <f t="shared" si="0"/>
        <v>18</v>
      </c>
      <c r="S17" s="1068">
        <f t="shared" si="0"/>
        <v>19</v>
      </c>
      <c r="T17" s="1068">
        <f t="shared" si="0"/>
        <v>20</v>
      </c>
      <c r="U17" s="1068">
        <f t="shared" si="0"/>
        <v>21</v>
      </c>
      <c r="V17" s="1069">
        <f>U17+1</f>
        <v>22</v>
      </c>
    </row>
    <row r="18" spans="1:22" ht="18.75" hidden="1" customHeight="1">
      <c r="A18" s="1071"/>
      <c r="B18" s="1072"/>
      <c r="C18" s="1072"/>
      <c r="D18" s="1914"/>
      <c r="E18" s="1914"/>
      <c r="F18" s="1914"/>
      <c r="G18" s="1914"/>
      <c r="H18" s="1914"/>
      <c r="I18" s="1914"/>
      <c r="J18" s="1914"/>
      <c r="K18" s="1914"/>
      <c r="L18" s="1914"/>
      <c r="M18" s="1914"/>
      <c r="N18" s="1914"/>
      <c r="O18" s="1914"/>
      <c r="P18" s="1914"/>
      <c r="Q18" s="1914"/>
      <c r="R18" s="1914"/>
      <c r="S18" s="1914"/>
      <c r="T18" s="1914"/>
      <c r="U18" s="1914"/>
      <c r="V18" s="1915"/>
    </row>
    <row r="19" spans="1:22" ht="67.5" customHeight="1" thickBot="1">
      <c r="A19" s="1074">
        <v>1</v>
      </c>
      <c r="B19" s="1075" t="s">
        <v>752</v>
      </c>
      <c r="C19" s="1076"/>
      <c r="D19" s="1077" t="s">
        <v>753</v>
      </c>
      <c r="E19" s="1078">
        <v>185</v>
      </c>
      <c r="F19" s="1078">
        <v>155</v>
      </c>
      <c r="G19" s="1078">
        <v>155</v>
      </c>
      <c r="H19" s="1078">
        <v>128</v>
      </c>
      <c r="I19" s="1078">
        <v>130</v>
      </c>
      <c r="J19" s="1078">
        <v>103</v>
      </c>
      <c r="K19" s="1078">
        <v>115</v>
      </c>
      <c r="L19" s="1078">
        <v>88</v>
      </c>
      <c r="M19" s="1078">
        <v>96</v>
      </c>
      <c r="N19" s="1078">
        <v>71</v>
      </c>
      <c r="O19" s="1078">
        <v>76</v>
      </c>
      <c r="P19" s="1078">
        <v>53</v>
      </c>
      <c r="Q19" s="1079"/>
      <c r="R19" s="1079"/>
      <c r="S19" s="1079"/>
      <c r="T19" s="1079"/>
      <c r="U19" s="1079"/>
      <c r="V19" s="1080"/>
    </row>
    <row r="20" spans="1:22" ht="66.75" customHeight="1" thickBot="1">
      <c r="A20" s="1074">
        <v>2</v>
      </c>
      <c r="B20" s="1075" t="s">
        <v>1268</v>
      </c>
      <c r="C20" s="1076"/>
      <c r="D20" s="1077" t="s">
        <v>753</v>
      </c>
      <c r="E20" s="1078">
        <v>248</v>
      </c>
      <c r="F20" s="1078">
        <v>219</v>
      </c>
      <c r="G20" s="1078">
        <v>208</v>
      </c>
      <c r="H20" s="1078">
        <v>178</v>
      </c>
      <c r="I20" s="1078">
        <v>180</v>
      </c>
      <c r="J20" s="1078">
        <v>148</v>
      </c>
      <c r="K20" s="1078">
        <v>148</v>
      </c>
      <c r="L20" s="1078">
        <v>115</v>
      </c>
      <c r="M20" s="1078">
        <v>104</v>
      </c>
      <c r="N20" s="1078">
        <v>82</v>
      </c>
      <c r="O20" s="1078">
        <v>85</v>
      </c>
      <c r="P20" s="1078">
        <v>64</v>
      </c>
      <c r="Q20" s="1079"/>
      <c r="R20" s="1079"/>
      <c r="S20" s="1079"/>
      <c r="T20" s="1079"/>
      <c r="U20" s="1079"/>
      <c r="V20" s="1080"/>
    </row>
    <row r="21" spans="1:22" ht="60" customHeight="1" thickBot="1">
      <c r="A21" s="1074">
        <f>A20+1</f>
        <v>3</v>
      </c>
      <c r="B21" s="1075" t="s">
        <v>755</v>
      </c>
      <c r="C21" s="1076"/>
      <c r="D21" s="1077" t="s">
        <v>753</v>
      </c>
      <c r="E21" s="1081">
        <v>72</v>
      </c>
      <c r="F21" s="1081">
        <v>55</v>
      </c>
      <c r="G21" s="1082">
        <v>66</v>
      </c>
      <c r="H21" s="1082">
        <v>50</v>
      </c>
      <c r="I21" s="1082">
        <v>60</v>
      </c>
      <c r="J21" s="1082">
        <v>45</v>
      </c>
      <c r="K21" s="1083">
        <v>54</v>
      </c>
      <c r="L21" s="1082">
        <v>40</v>
      </c>
      <c r="M21" s="1082">
        <v>48</v>
      </c>
      <c r="N21" s="1082">
        <v>35</v>
      </c>
      <c r="O21" s="1082">
        <v>42</v>
      </c>
      <c r="P21" s="1082">
        <v>30</v>
      </c>
      <c r="Q21" s="1079"/>
      <c r="R21" s="1079"/>
      <c r="S21" s="1079"/>
      <c r="T21" s="1079"/>
      <c r="U21" s="1079"/>
      <c r="V21" s="1080"/>
    </row>
    <row r="22" spans="1:22" ht="78.75" thickBot="1">
      <c r="A22" s="1074">
        <f>A21+1</f>
        <v>4</v>
      </c>
      <c r="B22" s="1075" t="s">
        <v>756</v>
      </c>
      <c r="C22" s="1076"/>
      <c r="D22" s="1077" t="s">
        <v>753</v>
      </c>
      <c r="E22" s="1081">
        <v>85</v>
      </c>
      <c r="F22" s="1081">
        <v>76</v>
      </c>
      <c r="G22" s="1082">
        <v>79</v>
      </c>
      <c r="H22" s="1082">
        <v>70</v>
      </c>
      <c r="I22" s="1082">
        <v>73</v>
      </c>
      <c r="J22" s="1082">
        <v>64</v>
      </c>
      <c r="K22" s="1083">
        <v>67</v>
      </c>
      <c r="L22" s="1082">
        <v>58</v>
      </c>
      <c r="M22" s="1082">
        <v>61</v>
      </c>
      <c r="N22" s="1082">
        <v>52</v>
      </c>
      <c r="O22" s="1082">
        <v>55</v>
      </c>
      <c r="P22" s="1082">
        <v>46</v>
      </c>
      <c r="Q22" s="1079"/>
      <c r="R22" s="1079"/>
      <c r="S22" s="1079"/>
      <c r="T22" s="1079"/>
      <c r="U22" s="1079"/>
      <c r="V22" s="1080"/>
    </row>
    <row r="23" spans="1:22" ht="63.75" thickBot="1">
      <c r="A23" s="1074">
        <f>A22+1</f>
        <v>5</v>
      </c>
      <c r="B23" s="1075" t="s">
        <v>757</v>
      </c>
      <c r="C23" s="1076"/>
      <c r="D23" s="1077" t="s">
        <v>753</v>
      </c>
      <c r="E23" s="1081">
        <v>97</v>
      </c>
      <c r="F23" s="1081">
        <v>80</v>
      </c>
      <c r="G23" s="1082">
        <v>90</v>
      </c>
      <c r="H23" s="1082">
        <v>74</v>
      </c>
      <c r="I23" s="1082">
        <v>83</v>
      </c>
      <c r="J23" s="1082">
        <v>68</v>
      </c>
      <c r="K23" s="1083">
        <v>76</v>
      </c>
      <c r="L23" s="1082">
        <v>62</v>
      </c>
      <c r="M23" s="1082">
        <v>67</v>
      </c>
      <c r="N23" s="1082">
        <v>56</v>
      </c>
      <c r="O23" s="1082">
        <v>60</v>
      </c>
      <c r="P23" s="1082">
        <v>50</v>
      </c>
      <c r="Q23" s="1079"/>
      <c r="R23" s="1079"/>
      <c r="S23" s="1079"/>
      <c r="T23" s="1079"/>
      <c r="U23" s="1079"/>
      <c r="V23" s="1080"/>
    </row>
    <row r="24" spans="1:22" ht="54" customHeight="1">
      <c r="A24" s="1894">
        <v>6</v>
      </c>
      <c r="B24" s="1896" t="s">
        <v>1269</v>
      </c>
      <c r="C24" s="1084" t="s">
        <v>729</v>
      </c>
      <c r="D24" s="1085" t="s">
        <v>1151</v>
      </c>
      <c r="E24" s="1086"/>
      <c r="F24" s="1086"/>
      <c r="G24" s="1086"/>
      <c r="H24" s="1086"/>
      <c r="I24" s="1087">
        <v>4.5833333333333338E-4</v>
      </c>
      <c r="J24" s="1087">
        <v>4.8148148148148155E-4</v>
      </c>
      <c r="K24" s="1088">
        <v>4.884259259259259E-4</v>
      </c>
      <c r="L24" s="1087">
        <v>5.2083333333333333E-4</v>
      </c>
      <c r="M24" s="1087">
        <v>5.2777777777777773E-4</v>
      </c>
      <c r="N24" s="1087">
        <v>5.6250000000000007E-4</v>
      </c>
      <c r="O24" s="1087">
        <v>5.7291666666666667E-4</v>
      </c>
      <c r="P24" s="1087">
        <v>6.134259259259259E-4</v>
      </c>
      <c r="Q24" s="1086"/>
      <c r="R24" s="1086"/>
      <c r="S24" s="1086"/>
      <c r="T24" s="1086"/>
      <c r="U24" s="1086"/>
      <c r="V24" s="1089"/>
    </row>
    <row r="25" spans="1:22" ht="54" customHeight="1" thickBot="1">
      <c r="A25" s="1895"/>
      <c r="B25" s="1897"/>
      <c r="C25" s="1090" t="s">
        <v>730</v>
      </c>
      <c r="D25" s="1091" t="s">
        <v>1151</v>
      </c>
      <c r="E25" s="1092" t="s">
        <v>1270</v>
      </c>
      <c r="F25" s="1092" t="s">
        <v>1271</v>
      </c>
      <c r="G25" s="1092" t="s">
        <v>1272</v>
      </c>
      <c r="H25" s="1092" t="s">
        <v>1273</v>
      </c>
      <c r="I25" s="1093" t="s">
        <v>763</v>
      </c>
      <c r="J25" s="1093" t="s">
        <v>764</v>
      </c>
      <c r="K25" s="1094" t="s">
        <v>765</v>
      </c>
      <c r="L25" s="1094" t="s">
        <v>766</v>
      </c>
      <c r="M25" s="1094" t="s">
        <v>767</v>
      </c>
      <c r="N25" s="1094" t="s">
        <v>768</v>
      </c>
      <c r="O25" s="1094" t="s">
        <v>769</v>
      </c>
      <c r="P25" s="1094" t="s">
        <v>770</v>
      </c>
      <c r="Q25" s="1095"/>
      <c r="R25" s="1095"/>
      <c r="S25" s="1095"/>
      <c r="T25" s="1095"/>
      <c r="U25" s="1095"/>
      <c r="V25" s="1096"/>
    </row>
    <row r="26" spans="1:22" ht="56.25" customHeight="1">
      <c r="A26" s="1894">
        <v>7</v>
      </c>
      <c r="B26" s="1896" t="s">
        <v>215</v>
      </c>
      <c r="C26" s="1084" t="s">
        <v>729</v>
      </c>
      <c r="D26" s="1085" t="s">
        <v>1151</v>
      </c>
      <c r="E26" s="1086"/>
      <c r="F26" s="1086"/>
      <c r="G26" s="1086"/>
      <c r="H26" s="1086"/>
      <c r="I26" s="1097">
        <v>1.1689814814814816E-3</v>
      </c>
      <c r="J26" s="1097">
        <v>1.3368055555555555E-3</v>
      </c>
      <c r="K26" s="1087">
        <v>1.3020833333333333E-3</v>
      </c>
      <c r="L26" s="1087">
        <v>1.4756944444444444E-3</v>
      </c>
      <c r="M26" s="1087">
        <v>1.417824074074074E-3</v>
      </c>
      <c r="N26" s="1087">
        <v>1.5740740740740741E-3</v>
      </c>
      <c r="O26" s="1087">
        <v>1.5277777777777779E-3</v>
      </c>
      <c r="P26" s="1087">
        <v>1.6956018518518518E-3</v>
      </c>
      <c r="Q26" s="1087">
        <v>1.6840277777777776E-3</v>
      </c>
      <c r="R26" s="1087">
        <v>1.8634259259259261E-3</v>
      </c>
      <c r="S26" s="1087">
        <v>1.8518518518518517E-3</v>
      </c>
      <c r="T26" s="1087">
        <v>2.0254629629629629E-3</v>
      </c>
      <c r="U26" s="1087">
        <v>2.0138888888888888E-3</v>
      </c>
      <c r="V26" s="1098">
        <v>2.1990740740740742E-3</v>
      </c>
    </row>
    <row r="27" spans="1:22" ht="57" customHeight="1" thickBot="1">
      <c r="A27" s="1895"/>
      <c r="B27" s="1897"/>
      <c r="C27" s="1090" t="s">
        <v>730</v>
      </c>
      <c r="D27" s="1091" t="s">
        <v>1151</v>
      </c>
      <c r="E27" s="1092" t="s">
        <v>1274</v>
      </c>
      <c r="F27" s="1092" t="s">
        <v>1275</v>
      </c>
      <c r="G27" s="1092" t="s">
        <v>1276</v>
      </c>
      <c r="H27" s="1092" t="s">
        <v>1277</v>
      </c>
      <c r="I27" s="1092" t="s">
        <v>875</v>
      </c>
      <c r="J27" s="1092" t="s">
        <v>880</v>
      </c>
      <c r="K27" s="1094" t="s">
        <v>777</v>
      </c>
      <c r="L27" s="1093" t="s">
        <v>778</v>
      </c>
      <c r="M27" s="1093" t="s">
        <v>779</v>
      </c>
      <c r="N27" s="1093" t="s">
        <v>780</v>
      </c>
      <c r="O27" s="1093" t="s">
        <v>781</v>
      </c>
      <c r="P27" s="1099" t="s">
        <v>782</v>
      </c>
      <c r="Q27" s="1100" t="s">
        <v>1152</v>
      </c>
      <c r="R27" s="1100" t="s">
        <v>1153</v>
      </c>
      <c r="S27" s="1100" t="s">
        <v>1154</v>
      </c>
      <c r="T27" s="1100" t="s">
        <v>1155</v>
      </c>
      <c r="U27" s="1100" t="s">
        <v>1156</v>
      </c>
      <c r="V27" s="1101" t="s">
        <v>1157</v>
      </c>
    </row>
    <row r="28" spans="1:22" ht="54.75" customHeight="1">
      <c r="A28" s="1894">
        <v>8</v>
      </c>
      <c r="B28" s="1896" t="s">
        <v>783</v>
      </c>
      <c r="C28" s="1084" t="s">
        <v>729</v>
      </c>
      <c r="D28" s="1085" t="s">
        <v>1151</v>
      </c>
      <c r="E28" s="1086"/>
      <c r="F28" s="1086"/>
      <c r="G28" s="1086"/>
      <c r="H28" s="1086"/>
      <c r="I28" s="1097">
        <v>2.6770833333333334E-3</v>
      </c>
      <c r="J28" s="1097">
        <v>3.0092592592592588E-3</v>
      </c>
      <c r="K28" s="1087">
        <v>2.9687500000000005E-3</v>
      </c>
      <c r="L28" s="1087">
        <v>3.2870370370370367E-3</v>
      </c>
      <c r="M28" s="1087">
        <v>3.2002314814814814E-3</v>
      </c>
      <c r="N28" s="1087">
        <v>3.4490740740740745E-3</v>
      </c>
      <c r="O28" s="1087">
        <v>3.472222222222222E-3</v>
      </c>
      <c r="P28" s="1087">
        <v>3.8657407407407408E-3</v>
      </c>
      <c r="Q28" s="1087">
        <v>3.7962962962962963E-3</v>
      </c>
      <c r="R28" s="1087">
        <v>4.108796296296297E-3</v>
      </c>
      <c r="S28" s="1087">
        <v>4.0798611111111114E-3</v>
      </c>
      <c r="T28" s="1087">
        <v>4.5370370370370365E-3</v>
      </c>
      <c r="U28" s="1087">
        <v>4.4907407407407405E-3</v>
      </c>
      <c r="V28" s="1098">
        <v>4.8611111111111112E-3</v>
      </c>
    </row>
    <row r="29" spans="1:22" ht="55.5" customHeight="1" thickBot="1">
      <c r="A29" s="1895"/>
      <c r="B29" s="1897"/>
      <c r="C29" s="1090" t="s">
        <v>730</v>
      </c>
      <c r="D29" s="1091" t="s">
        <v>1151</v>
      </c>
      <c r="E29" s="1092" t="s">
        <v>1278</v>
      </c>
      <c r="F29" s="1092" t="s">
        <v>1279</v>
      </c>
      <c r="G29" s="1092" t="s">
        <v>1280</v>
      </c>
      <c r="H29" s="1092" t="s">
        <v>1281</v>
      </c>
      <c r="I29" s="1092" t="s">
        <v>1282</v>
      </c>
      <c r="J29" s="1092" t="s">
        <v>1283</v>
      </c>
      <c r="K29" s="1094" t="s">
        <v>790</v>
      </c>
      <c r="L29" s="1093" t="s">
        <v>791</v>
      </c>
      <c r="M29" s="1093" t="s">
        <v>792</v>
      </c>
      <c r="N29" s="1093" t="s">
        <v>793</v>
      </c>
      <c r="O29" s="1093" t="s">
        <v>794</v>
      </c>
      <c r="P29" s="1093" t="s">
        <v>795</v>
      </c>
      <c r="Q29" s="1094" t="s">
        <v>1158</v>
      </c>
      <c r="R29" s="1094" t="s">
        <v>1159</v>
      </c>
      <c r="S29" s="1094" t="s">
        <v>1160</v>
      </c>
      <c r="T29" s="1094" t="s">
        <v>1161</v>
      </c>
      <c r="U29" s="1094" t="s">
        <v>1162</v>
      </c>
      <c r="V29" s="1102" t="s">
        <v>958</v>
      </c>
    </row>
    <row r="30" spans="1:22" ht="55.5" customHeight="1">
      <c r="A30" s="1894">
        <v>9</v>
      </c>
      <c r="B30" s="1896" t="s">
        <v>796</v>
      </c>
      <c r="C30" s="1084" t="s">
        <v>729</v>
      </c>
      <c r="D30" s="1085" t="s">
        <v>1151</v>
      </c>
      <c r="E30" s="1086"/>
      <c r="F30" s="1086"/>
      <c r="G30" s="1086"/>
      <c r="H30" s="1086"/>
      <c r="I30" s="1087">
        <v>2.4074074074074077E-4</v>
      </c>
      <c r="J30" s="1087">
        <v>2.9861111111111109E-4</v>
      </c>
      <c r="K30" s="1087">
        <v>2.6620370370370372E-4</v>
      </c>
      <c r="L30" s="1087">
        <v>3.2407407407407406E-4</v>
      </c>
      <c r="M30" s="1087">
        <v>2.9513888888888889E-4</v>
      </c>
      <c r="N30" s="1087">
        <v>3.5069444444444444E-4</v>
      </c>
      <c r="O30" s="1087">
        <v>3.4259259259259263E-4</v>
      </c>
      <c r="P30" s="1087">
        <v>4.0509259259259258E-4</v>
      </c>
      <c r="Q30" s="1087">
        <v>3.8194444444444446E-4</v>
      </c>
      <c r="R30" s="1087">
        <v>4.4560185185185192E-4</v>
      </c>
      <c r="S30" s="1087">
        <v>4.1898148148148155E-4</v>
      </c>
      <c r="T30" s="1087">
        <v>4.7453703703703704E-4</v>
      </c>
      <c r="U30" s="1087">
        <v>4.5138888888888892E-4</v>
      </c>
      <c r="V30" s="1098">
        <v>5.2083333333333333E-4</v>
      </c>
    </row>
    <row r="31" spans="1:22" ht="55.5" customHeight="1" thickBot="1">
      <c r="A31" s="1895"/>
      <c r="B31" s="1897"/>
      <c r="C31" s="1090" t="s">
        <v>730</v>
      </c>
      <c r="D31" s="1091" t="s">
        <v>1151</v>
      </c>
      <c r="E31" s="1092" t="s">
        <v>844</v>
      </c>
      <c r="F31" s="1092" t="s">
        <v>738</v>
      </c>
      <c r="G31" s="1092" t="s">
        <v>845</v>
      </c>
      <c r="H31" s="1092" t="s">
        <v>800</v>
      </c>
      <c r="I31" s="1093" t="s">
        <v>800</v>
      </c>
      <c r="J31" s="1093" t="s">
        <v>801</v>
      </c>
      <c r="K31" s="1094" t="s">
        <v>802</v>
      </c>
      <c r="L31" s="1093" t="s">
        <v>803</v>
      </c>
      <c r="M31" s="1093" t="s">
        <v>804</v>
      </c>
      <c r="N31" s="1093" t="s">
        <v>805</v>
      </c>
      <c r="O31" s="1093" t="s">
        <v>806</v>
      </c>
      <c r="P31" s="1093" t="s">
        <v>807</v>
      </c>
      <c r="Q31" s="1094" t="s">
        <v>1163</v>
      </c>
      <c r="R31" s="1094" t="s">
        <v>1164</v>
      </c>
      <c r="S31" s="1094" t="s">
        <v>928</v>
      </c>
      <c r="T31" s="1094" t="s">
        <v>1165</v>
      </c>
      <c r="U31" s="1094" t="s">
        <v>1166</v>
      </c>
      <c r="V31" s="1102" t="s">
        <v>766</v>
      </c>
    </row>
    <row r="32" spans="1:22" ht="53.25" customHeight="1">
      <c r="A32" s="1894">
        <f>A30+1</f>
        <v>10</v>
      </c>
      <c r="B32" s="1896" t="s">
        <v>213</v>
      </c>
      <c r="C32" s="1084" t="s">
        <v>729</v>
      </c>
      <c r="D32" s="1085" t="s">
        <v>1151</v>
      </c>
      <c r="E32" s="1086"/>
      <c r="F32" s="1086"/>
      <c r="G32" s="1086"/>
      <c r="H32" s="1086"/>
      <c r="I32" s="1087">
        <v>1.8749999999999998E-4</v>
      </c>
      <c r="J32" s="1087">
        <v>2.1064814814814815E-4</v>
      </c>
      <c r="K32" s="1087">
        <v>2.0023148148148146E-4</v>
      </c>
      <c r="L32" s="1087">
        <v>2.2453703703703701E-4</v>
      </c>
      <c r="M32" s="1087">
        <v>2.175925925925926E-4</v>
      </c>
      <c r="N32" s="1087">
        <v>2.4421296296296295E-4</v>
      </c>
      <c r="O32" s="1087">
        <v>2.3611111111111109E-4</v>
      </c>
      <c r="P32" s="1087">
        <v>2.6504629629629626E-4</v>
      </c>
      <c r="Q32" s="1086"/>
      <c r="R32" s="1086"/>
      <c r="S32" s="1086"/>
      <c r="T32" s="1086"/>
      <c r="U32" s="1086"/>
      <c r="V32" s="1089"/>
    </row>
    <row r="33" spans="1:22" ht="53.25" customHeight="1" thickBot="1">
      <c r="A33" s="1895"/>
      <c r="B33" s="1911"/>
      <c r="C33" s="1090" t="s">
        <v>730</v>
      </c>
      <c r="D33" s="1091" t="s">
        <v>1151</v>
      </c>
      <c r="E33" s="1103" t="s">
        <v>731</v>
      </c>
      <c r="F33" s="1103" t="s">
        <v>732</v>
      </c>
      <c r="G33" s="1093" t="s">
        <v>733</v>
      </c>
      <c r="H33" s="1093" t="s">
        <v>734</v>
      </c>
      <c r="I33" s="1093" t="s">
        <v>735</v>
      </c>
      <c r="J33" s="1093" t="s">
        <v>736</v>
      </c>
      <c r="K33" s="1094" t="s">
        <v>734</v>
      </c>
      <c r="L33" s="1093" t="s">
        <v>737</v>
      </c>
      <c r="M33" s="1093" t="s">
        <v>738</v>
      </c>
      <c r="N33" s="1093" t="s">
        <v>739</v>
      </c>
      <c r="O33" s="1093" t="s">
        <v>740</v>
      </c>
      <c r="P33" s="1093" t="s">
        <v>741</v>
      </c>
      <c r="Q33" s="1104"/>
      <c r="R33" s="1104"/>
      <c r="S33" s="1104"/>
      <c r="T33" s="1104"/>
      <c r="U33" s="1104"/>
      <c r="V33" s="1105"/>
    </row>
    <row r="34" spans="1:22" ht="54.75" customHeight="1">
      <c r="A34" s="1894">
        <v>11</v>
      </c>
      <c r="B34" s="1896" t="s">
        <v>1284</v>
      </c>
      <c r="C34" s="1084" t="s">
        <v>729</v>
      </c>
      <c r="D34" s="1085" t="s">
        <v>1151</v>
      </c>
      <c r="E34" s="1086"/>
      <c r="F34" s="1086"/>
      <c r="G34" s="1086"/>
      <c r="H34" s="1086"/>
      <c r="I34" s="1097">
        <v>2.465277777777778E-4</v>
      </c>
      <c r="J34" s="1097">
        <v>2.8472222222222223E-4</v>
      </c>
      <c r="K34" s="1097">
        <v>2.6620370370370372E-4</v>
      </c>
      <c r="L34" s="1097">
        <v>3.0555555555555555E-4</v>
      </c>
      <c r="M34" s="1097">
        <v>2.8703703703703703E-4</v>
      </c>
      <c r="N34" s="1097">
        <v>3.2407407407407406E-4</v>
      </c>
      <c r="O34" s="1097">
        <v>3.0671296296296295E-4</v>
      </c>
      <c r="P34" s="1097">
        <v>3.5300925925925924E-4</v>
      </c>
      <c r="Q34" s="1088">
        <v>3.4490740740740743E-4</v>
      </c>
      <c r="R34" s="1087">
        <v>3.8773148148148152E-4</v>
      </c>
      <c r="S34" s="1087">
        <v>3.7499999999999995E-4</v>
      </c>
      <c r="T34" s="1087">
        <v>4.2476851851851855E-4</v>
      </c>
      <c r="U34" s="1106" t="s">
        <v>808</v>
      </c>
      <c r="V34" s="1098">
        <v>4.6064814814814818E-4</v>
      </c>
    </row>
    <row r="35" spans="1:22" ht="56.25" customHeight="1" thickBot="1">
      <c r="A35" s="1895"/>
      <c r="B35" s="1897"/>
      <c r="C35" s="1090" t="s">
        <v>730</v>
      </c>
      <c r="D35" s="1091" t="s">
        <v>1151</v>
      </c>
      <c r="E35" s="1092" t="s">
        <v>1285</v>
      </c>
      <c r="F35" s="1092" t="s">
        <v>1286</v>
      </c>
      <c r="G35" s="1092" t="s">
        <v>1287</v>
      </c>
      <c r="H35" s="1092" t="s">
        <v>1288</v>
      </c>
      <c r="I35" s="1092" t="s">
        <v>1289</v>
      </c>
      <c r="J35" s="1092" t="s">
        <v>1290</v>
      </c>
      <c r="K35" s="1092" t="s">
        <v>1291</v>
      </c>
      <c r="L35" s="1092" t="s">
        <v>1292</v>
      </c>
      <c r="M35" s="1092" t="s">
        <v>853</v>
      </c>
      <c r="N35" s="1092" t="s">
        <v>803</v>
      </c>
      <c r="O35" s="1092" t="s">
        <v>1293</v>
      </c>
      <c r="P35" s="1092" t="s">
        <v>1294</v>
      </c>
      <c r="Q35" s="1094" t="s">
        <v>1167</v>
      </c>
      <c r="R35" s="1094" t="s">
        <v>1168</v>
      </c>
      <c r="S35" s="1094" t="s">
        <v>1169</v>
      </c>
      <c r="T35" s="1094" t="s">
        <v>1170</v>
      </c>
      <c r="U35" s="1094" t="s">
        <v>1171</v>
      </c>
      <c r="V35" s="1102" t="s">
        <v>857</v>
      </c>
    </row>
    <row r="36" spans="1:22" ht="55.5" customHeight="1">
      <c r="A36" s="1894">
        <v>12</v>
      </c>
      <c r="B36" s="1896" t="s">
        <v>1295</v>
      </c>
      <c r="C36" s="1084" t="s">
        <v>729</v>
      </c>
      <c r="D36" s="1085" t="s">
        <v>1151</v>
      </c>
      <c r="E36" s="1086"/>
      <c r="F36" s="1086"/>
      <c r="G36" s="1086"/>
      <c r="H36" s="1086"/>
      <c r="I36" s="1097">
        <v>5.4745370370370375E-4</v>
      </c>
      <c r="J36" s="1097">
        <v>6.168981481481481E-4</v>
      </c>
      <c r="K36" s="1097">
        <v>5.8796296296296287E-4</v>
      </c>
      <c r="L36" s="1097">
        <v>6.6319444444444444E-4</v>
      </c>
      <c r="M36" s="1097">
        <v>6.4699074074074073E-4</v>
      </c>
      <c r="N36" s="1097">
        <v>7.164351851851853E-4</v>
      </c>
      <c r="O36" s="1097">
        <v>6.9907407407407407E-4</v>
      </c>
      <c r="P36" s="1097">
        <v>7.8472222222222214E-4</v>
      </c>
      <c r="Q36" s="1087">
        <v>7.6388888888888893E-4</v>
      </c>
      <c r="R36" s="1087">
        <v>8.5069444444444461E-4</v>
      </c>
      <c r="S36" s="1087">
        <v>8.3333333333333339E-4</v>
      </c>
      <c r="T36" s="1087">
        <v>9.2129629629629636E-4</v>
      </c>
      <c r="U36" s="1087">
        <v>9.0856481481481485E-4</v>
      </c>
      <c r="V36" s="1098">
        <v>9.9537037037037042E-4</v>
      </c>
    </row>
    <row r="37" spans="1:22" ht="57" customHeight="1" thickBot="1">
      <c r="A37" s="1895"/>
      <c r="B37" s="1897"/>
      <c r="C37" s="1090" t="s">
        <v>730</v>
      </c>
      <c r="D37" s="1091" t="s">
        <v>1151</v>
      </c>
      <c r="E37" s="1092" t="s">
        <v>1296</v>
      </c>
      <c r="F37" s="1092" t="s">
        <v>1297</v>
      </c>
      <c r="G37" s="1092" t="s">
        <v>1298</v>
      </c>
      <c r="H37" s="1092" t="s">
        <v>1299</v>
      </c>
      <c r="I37" s="1092" t="s">
        <v>1300</v>
      </c>
      <c r="J37" s="1092" t="s">
        <v>1301</v>
      </c>
      <c r="K37" s="1092" t="s">
        <v>1299</v>
      </c>
      <c r="L37" s="1092" t="s">
        <v>1302</v>
      </c>
      <c r="M37" s="1092" t="s">
        <v>1303</v>
      </c>
      <c r="N37" s="1092" t="s">
        <v>1304</v>
      </c>
      <c r="O37" s="1092" t="s">
        <v>1305</v>
      </c>
      <c r="P37" s="1092" t="s">
        <v>1306</v>
      </c>
      <c r="Q37" s="1094" t="s">
        <v>1172</v>
      </c>
      <c r="R37" s="1094" t="s">
        <v>1173</v>
      </c>
      <c r="S37" s="1094" t="s">
        <v>1174</v>
      </c>
      <c r="T37" s="1094" t="s">
        <v>1175</v>
      </c>
      <c r="U37" s="1094" t="s">
        <v>1176</v>
      </c>
      <c r="V37" s="1102" t="s">
        <v>1177</v>
      </c>
    </row>
    <row r="38" spans="1:22" ht="53.25" customHeight="1">
      <c r="A38" s="1894">
        <v>13</v>
      </c>
      <c r="B38" s="1896" t="s">
        <v>1307</v>
      </c>
      <c r="C38" s="1084" t="s">
        <v>729</v>
      </c>
      <c r="D38" s="1085" t="s">
        <v>1151</v>
      </c>
      <c r="E38" s="1086"/>
      <c r="F38" s="1086"/>
      <c r="G38" s="1086"/>
      <c r="H38" s="1086"/>
      <c r="I38" s="1097">
        <v>1.224537037037037E-3</v>
      </c>
      <c r="J38" s="1097">
        <v>1.3611111111111109E-3</v>
      </c>
      <c r="K38" s="1097">
        <v>1.3263888888888891E-3</v>
      </c>
      <c r="L38" s="1097">
        <v>1.4733796296296294E-3</v>
      </c>
      <c r="M38" s="1097">
        <v>1.4328703703703706E-3</v>
      </c>
      <c r="N38" s="1097">
        <v>1.5775462962962963E-3</v>
      </c>
      <c r="O38" s="1097">
        <v>1.5578703703703703E-3</v>
      </c>
      <c r="P38" s="1097">
        <v>1.712962962962963E-3</v>
      </c>
      <c r="Q38" s="1087">
        <v>1.71875E-3</v>
      </c>
      <c r="R38" s="1087">
        <v>1.8981481481481482E-3</v>
      </c>
      <c r="S38" s="1087">
        <v>1.8750000000000001E-3</v>
      </c>
      <c r="T38" s="1087">
        <v>2.0659722222222221E-3</v>
      </c>
      <c r="U38" s="1087">
        <v>2.0254629629629629E-3</v>
      </c>
      <c r="V38" s="1098">
        <v>2.2222222222222222E-3</v>
      </c>
    </row>
    <row r="39" spans="1:22" ht="53.25" customHeight="1" thickBot="1">
      <c r="A39" s="1895"/>
      <c r="B39" s="1897"/>
      <c r="C39" s="1090" t="s">
        <v>730</v>
      </c>
      <c r="D39" s="1091" t="s">
        <v>1151</v>
      </c>
      <c r="E39" s="1092" t="s">
        <v>1308</v>
      </c>
      <c r="F39" s="1092" t="s">
        <v>1309</v>
      </c>
      <c r="G39" s="1092" t="s">
        <v>1310</v>
      </c>
      <c r="H39" s="1092" t="s">
        <v>1311</v>
      </c>
      <c r="I39" s="1092" t="s">
        <v>1312</v>
      </c>
      <c r="J39" s="1092" t="s">
        <v>1313</v>
      </c>
      <c r="K39" s="1092" t="s">
        <v>1314</v>
      </c>
      <c r="L39" s="1092" t="s">
        <v>1315</v>
      </c>
      <c r="M39" s="1092" t="s">
        <v>1316</v>
      </c>
      <c r="N39" s="1092" t="s">
        <v>1317</v>
      </c>
      <c r="O39" s="1092" t="s">
        <v>1318</v>
      </c>
      <c r="P39" s="1092" t="s">
        <v>1319</v>
      </c>
      <c r="Q39" s="1094" t="s">
        <v>1178</v>
      </c>
      <c r="R39" s="1094" t="s">
        <v>1179</v>
      </c>
      <c r="S39" s="1094" t="s">
        <v>1180</v>
      </c>
      <c r="T39" s="1094" t="s">
        <v>1181</v>
      </c>
      <c r="U39" s="1094" t="s">
        <v>1155</v>
      </c>
      <c r="V39" s="1102" t="s">
        <v>1182</v>
      </c>
    </row>
    <row r="40" spans="1:22" ht="54.75" customHeight="1">
      <c r="A40" s="1894">
        <v>14</v>
      </c>
      <c r="B40" s="1896" t="s">
        <v>1320</v>
      </c>
      <c r="C40" s="1084" t="s">
        <v>729</v>
      </c>
      <c r="D40" s="1085" t="s">
        <v>1151</v>
      </c>
      <c r="E40" s="1107"/>
      <c r="F40" s="1107"/>
      <c r="G40" s="1107"/>
      <c r="H40" s="1107"/>
      <c r="I40" s="1108" t="s">
        <v>1321</v>
      </c>
      <c r="J40" s="1108" t="s">
        <v>1322</v>
      </c>
      <c r="K40" s="1106" t="s">
        <v>1186</v>
      </c>
      <c r="L40" s="1106" t="s">
        <v>1187</v>
      </c>
      <c r="M40" s="1106" t="s">
        <v>1188</v>
      </c>
      <c r="N40" s="1106" t="s">
        <v>1189</v>
      </c>
      <c r="O40" s="1106" t="s">
        <v>1189</v>
      </c>
      <c r="P40" s="1106" t="s">
        <v>1190</v>
      </c>
      <c r="Q40" s="1106" t="s">
        <v>1191</v>
      </c>
      <c r="R40" s="1106" t="s">
        <v>1192</v>
      </c>
      <c r="S40" s="1106" t="s">
        <v>1193</v>
      </c>
      <c r="T40" s="1106" t="s">
        <v>1194</v>
      </c>
      <c r="U40" s="1106" t="s">
        <v>1195</v>
      </c>
      <c r="V40" s="1109" t="s">
        <v>1196</v>
      </c>
    </row>
    <row r="41" spans="1:22" ht="56.25" customHeight="1" thickBot="1">
      <c r="A41" s="1895"/>
      <c r="B41" s="1897"/>
      <c r="C41" s="1090" t="s">
        <v>730</v>
      </c>
      <c r="D41" s="1091" t="s">
        <v>1151</v>
      </c>
      <c r="E41" s="1092" t="s">
        <v>1323</v>
      </c>
      <c r="F41" s="1092" t="s">
        <v>1324</v>
      </c>
      <c r="G41" s="1092" t="s">
        <v>1325</v>
      </c>
      <c r="H41" s="1092" t="s">
        <v>1326</v>
      </c>
      <c r="I41" s="1092" t="s">
        <v>1327</v>
      </c>
      <c r="J41" s="1092" t="s">
        <v>1328</v>
      </c>
      <c r="K41" s="1094" t="s">
        <v>787</v>
      </c>
      <c r="L41" s="1093" t="s">
        <v>1202</v>
      </c>
      <c r="M41" s="1093" t="s">
        <v>1203</v>
      </c>
      <c r="N41" s="1093" t="s">
        <v>1204</v>
      </c>
      <c r="O41" s="1093" t="s">
        <v>1204</v>
      </c>
      <c r="P41" s="1093" t="s">
        <v>1205</v>
      </c>
      <c r="Q41" s="1100" t="s">
        <v>1206</v>
      </c>
      <c r="R41" s="1100" t="s">
        <v>1207</v>
      </c>
      <c r="S41" s="1100" t="s">
        <v>1208</v>
      </c>
      <c r="T41" s="1100" t="s">
        <v>1209</v>
      </c>
      <c r="U41" s="1100" t="s">
        <v>1210</v>
      </c>
      <c r="V41" s="1101" t="s">
        <v>1211</v>
      </c>
    </row>
    <row r="42" spans="1:22" ht="101.25" customHeight="1">
      <c r="A42" s="1894">
        <f>A40+1</f>
        <v>15</v>
      </c>
      <c r="B42" s="1896" t="s">
        <v>1212</v>
      </c>
      <c r="C42" s="1084" t="s">
        <v>729</v>
      </c>
      <c r="D42" s="1085" t="s">
        <v>1151</v>
      </c>
      <c r="E42" s="1086"/>
      <c r="F42" s="1086"/>
      <c r="G42" s="1086"/>
      <c r="H42" s="1086"/>
      <c r="I42" s="1088">
        <v>5.5671296296296296E-4</v>
      </c>
      <c r="J42" s="1087">
        <v>6.2268518518518521E-4</v>
      </c>
      <c r="K42" s="1087">
        <v>5.9606481481481479E-4</v>
      </c>
      <c r="L42" s="1087">
        <v>6.6666666666666664E-4</v>
      </c>
      <c r="M42" s="1087">
        <v>6.4814814814814813E-4</v>
      </c>
      <c r="N42" s="1087">
        <v>7.175925925925927E-4</v>
      </c>
      <c r="O42" s="1087">
        <v>7.0023148148148147E-4</v>
      </c>
      <c r="P42" s="1087">
        <v>7.8703703703703705E-4</v>
      </c>
      <c r="Q42" s="1087">
        <v>7.6388888888888893E-4</v>
      </c>
      <c r="R42" s="1087">
        <v>8.5069444444444461E-4</v>
      </c>
      <c r="S42" s="1087">
        <v>8.3333333333333339E-4</v>
      </c>
      <c r="T42" s="1087">
        <v>9.2129629629629636E-4</v>
      </c>
      <c r="U42" s="1087">
        <v>9.0856481481481485E-4</v>
      </c>
      <c r="V42" s="1098">
        <v>9.9537037037037042E-4</v>
      </c>
    </row>
    <row r="43" spans="1:22" ht="101.25" customHeight="1" thickBot="1">
      <c r="A43" s="1895"/>
      <c r="B43" s="1911"/>
      <c r="C43" s="1090" t="s">
        <v>730</v>
      </c>
      <c r="D43" s="1091" t="s">
        <v>1151</v>
      </c>
      <c r="E43" s="1103" t="s">
        <v>821</v>
      </c>
      <c r="F43" s="1103" t="s">
        <v>768</v>
      </c>
      <c r="G43" s="1093" t="s">
        <v>822</v>
      </c>
      <c r="H43" s="1093" t="s">
        <v>823</v>
      </c>
      <c r="I43" s="1093" t="s">
        <v>824</v>
      </c>
      <c r="J43" s="1093" t="s">
        <v>825</v>
      </c>
      <c r="K43" s="1094" t="s">
        <v>826</v>
      </c>
      <c r="L43" s="1093" t="s">
        <v>827</v>
      </c>
      <c r="M43" s="1093" t="s">
        <v>828</v>
      </c>
      <c r="N43" s="1093" t="s">
        <v>829</v>
      </c>
      <c r="O43" s="1093" t="s">
        <v>830</v>
      </c>
      <c r="P43" s="1093" t="s">
        <v>831</v>
      </c>
      <c r="Q43" s="1094" t="s">
        <v>1172</v>
      </c>
      <c r="R43" s="1094" t="s">
        <v>1173</v>
      </c>
      <c r="S43" s="1094" t="s">
        <v>1174</v>
      </c>
      <c r="T43" s="1094" t="s">
        <v>1175</v>
      </c>
      <c r="U43" s="1094" t="s">
        <v>1176</v>
      </c>
      <c r="V43" s="1102" t="s">
        <v>1177</v>
      </c>
    </row>
    <row r="44" spans="1:22" ht="53.25" customHeight="1">
      <c r="A44" s="1894">
        <f>A42+1</f>
        <v>16</v>
      </c>
      <c r="B44" s="1896" t="s">
        <v>187</v>
      </c>
      <c r="C44" s="1084" t="s">
        <v>729</v>
      </c>
      <c r="D44" s="1085" t="s">
        <v>1151</v>
      </c>
      <c r="E44" s="1086"/>
      <c r="F44" s="1086"/>
      <c r="G44" s="1086"/>
      <c r="H44" s="1086"/>
      <c r="I44" s="1087">
        <v>2.0370370370370369E-4</v>
      </c>
      <c r="J44" s="1087">
        <v>2.2800925925925926E-4</v>
      </c>
      <c r="K44" s="1087">
        <v>2.1412037037037038E-4</v>
      </c>
      <c r="L44" s="1087">
        <v>2.4421296296296295E-4</v>
      </c>
      <c r="M44" s="1087">
        <v>2.3263888888888889E-4</v>
      </c>
      <c r="N44" s="1087">
        <v>2.6504629629629626E-4</v>
      </c>
      <c r="O44" s="1087">
        <v>2.5347222222222221E-4</v>
      </c>
      <c r="P44" s="1087">
        <v>2.8703703703703703E-4</v>
      </c>
      <c r="Q44" s="1106" t="s">
        <v>188</v>
      </c>
      <c r="R44" s="1106" t="s">
        <v>189</v>
      </c>
      <c r="S44" s="1106" t="s">
        <v>190</v>
      </c>
      <c r="T44" s="1106" t="s">
        <v>191</v>
      </c>
      <c r="U44" s="1106" t="s">
        <v>192</v>
      </c>
      <c r="V44" s="1109" t="s">
        <v>193</v>
      </c>
    </row>
    <row r="45" spans="1:22" ht="53.25" customHeight="1" thickBot="1">
      <c r="A45" s="1895"/>
      <c r="B45" s="1911"/>
      <c r="C45" s="1090" t="s">
        <v>730</v>
      </c>
      <c r="D45" s="1091" t="s">
        <v>1151</v>
      </c>
      <c r="E45" s="1103" t="s">
        <v>844</v>
      </c>
      <c r="F45" s="1103" t="s">
        <v>845</v>
      </c>
      <c r="G45" s="1093" t="s">
        <v>846</v>
      </c>
      <c r="H45" s="1093" t="s">
        <v>847</v>
      </c>
      <c r="I45" s="1093" t="s">
        <v>848</v>
      </c>
      <c r="J45" s="1093" t="s">
        <v>849</v>
      </c>
      <c r="K45" s="1094" t="s">
        <v>850</v>
      </c>
      <c r="L45" s="1093" t="s">
        <v>739</v>
      </c>
      <c r="M45" s="1093" t="s">
        <v>851</v>
      </c>
      <c r="N45" s="1093" t="s">
        <v>741</v>
      </c>
      <c r="O45" s="1093" t="s">
        <v>852</v>
      </c>
      <c r="P45" s="1093" t="s">
        <v>853</v>
      </c>
      <c r="Q45" s="1094" t="s">
        <v>1213</v>
      </c>
      <c r="R45" s="1094" t="s">
        <v>1214</v>
      </c>
      <c r="S45" s="1094" t="s">
        <v>1215</v>
      </c>
      <c r="T45" s="1094" t="s">
        <v>1216</v>
      </c>
      <c r="U45" s="1094" t="s">
        <v>1217</v>
      </c>
      <c r="V45" s="1102" t="s">
        <v>1169</v>
      </c>
    </row>
    <row r="46" spans="1:22" ht="55.5" customHeight="1">
      <c r="A46" s="1894">
        <f>A44+1</f>
        <v>17</v>
      </c>
      <c r="B46" s="1896" t="s">
        <v>194</v>
      </c>
      <c r="C46" s="1084" t="s">
        <v>729</v>
      </c>
      <c r="D46" s="1085" t="s">
        <v>1151</v>
      </c>
      <c r="E46" s="1086"/>
      <c r="F46" s="1086"/>
      <c r="G46" s="1086"/>
      <c r="H46" s="1086"/>
      <c r="I46" s="1087">
        <v>4.5601851851851852E-4</v>
      </c>
      <c r="J46" s="1087">
        <v>5.0694444444444441E-4</v>
      </c>
      <c r="K46" s="1087">
        <v>4.895833333333333E-4</v>
      </c>
      <c r="L46" s="1087">
        <v>5.4398148148148144E-4</v>
      </c>
      <c r="M46" s="1087">
        <v>5.3125000000000004E-4</v>
      </c>
      <c r="N46" s="1087">
        <v>5.9027777777777778E-4</v>
      </c>
      <c r="O46" s="1087">
        <v>5.7638888888888887E-4</v>
      </c>
      <c r="P46" s="1087">
        <v>6.3888888888888893E-4</v>
      </c>
      <c r="Q46" s="1106" t="s">
        <v>195</v>
      </c>
      <c r="R46" s="1106" t="s">
        <v>854</v>
      </c>
      <c r="S46" s="1106" t="s">
        <v>196</v>
      </c>
      <c r="T46" s="1106" t="s">
        <v>855</v>
      </c>
      <c r="U46" s="1106" t="s">
        <v>197</v>
      </c>
      <c r="V46" s="1098">
        <v>8.1481481481481476E-4</v>
      </c>
    </row>
    <row r="47" spans="1:22" ht="55.5" customHeight="1" thickBot="1">
      <c r="A47" s="1895"/>
      <c r="B47" s="1911"/>
      <c r="C47" s="1090" t="s">
        <v>730</v>
      </c>
      <c r="D47" s="1091" t="s">
        <v>1151</v>
      </c>
      <c r="E47" s="1103" t="s">
        <v>856</v>
      </c>
      <c r="F47" s="1103" t="s">
        <v>857</v>
      </c>
      <c r="G47" s="1093" t="s">
        <v>858</v>
      </c>
      <c r="H47" s="1093" t="s">
        <v>859</v>
      </c>
      <c r="I47" s="1093" t="s">
        <v>860</v>
      </c>
      <c r="J47" s="1093" t="s">
        <v>821</v>
      </c>
      <c r="K47" s="1094" t="s">
        <v>861</v>
      </c>
      <c r="L47" s="1093" t="s">
        <v>862</v>
      </c>
      <c r="M47" s="1093" t="s">
        <v>863</v>
      </c>
      <c r="N47" s="1093" t="s">
        <v>864</v>
      </c>
      <c r="O47" s="1093" t="s">
        <v>865</v>
      </c>
      <c r="P47" s="1093" t="s">
        <v>866</v>
      </c>
      <c r="Q47" s="1094" t="s">
        <v>1218</v>
      </c>
      <c r="R47" s="1094" t="s">
        <v>1219</v>
      </c>
      <c r="S47" s="1094" t="s">
        <v>1220</v>
      </c>
      <c r="T47" s="1094" t="s">
        <v>1221</v>
      </c>
      <c r="U47" s="1094" t="s">
        <v>1222</v>
      </c>
      <c r="V47" s="1102" t="s">
        <v>1223</v>
      </c>
    </row>
    <row r="48" spans="1:22" ht="54.75" customHeight="1">
      <c r="A48" s="1894">
        <f>A46+1</f>
        <v>18</v>
      </c>
      <c r="B48" s="1896" t="s">
        <v>198</v>
      </c>
      <c r="C48" s="1084" t="s">
        <v>729</v>
      </c>
      <c r="D48" s="1085" t="s">
        <v>1151</v>
      </c>
      <c r="E48" s="1086"/>
      <c r="F48" s="1086"/>
      <c r="G48" s="1086"/>
      <c r="H48" s="1086"/>
      <c r="I48" s="1087">
        <v>1.0590277777777777E-3</v>
      </c>
      <c r="J48" s="1087">
        <v>1.1689814814814816E-3</v>
      </c>
      <c r="K48" s="1087">
        <v>1.1342592592592591E-3</v>
      </c>
      <c r="L48" s="1087">
        <v>1.2442129629629628E-3</v>
      </c>
      <c r="M48" s="1087">
        <v>1.2384259259259258E-3</v>
      </c>
      <c r="N48" s="1087">
        <v>1.3599537037037037E-3</v>
      </c>
      <c r="O48" s="1087">
        <v>1.3368055555555555E-3</v>
      </c>
      <c r="P48" s="1087">
        <v>1.4606481481481482E-3</v>
      </c>
      <c r="Q48" s="1106" t="s">
        <v>199</v>
      </c>
      <c r="R48" s="1106" t="s">
        <v>867</v>
      </c>
      <c r="S48" s="1106" t="s">
        <v>200</v>
      </c>
      <c r="T48" s="1106" t="s">
        <v>868</v>
      </c>
      <c r="U48" s="1106" t="s">
        <v>201</v>
      </c>
      <c r="V48" s="1109" t="s">
        <v>869</v>
      </c>
    </row>
    <row r="49" spans="1:22" ht="54.75" customHeight="1" thickBot="1">
      <c r="A49" s="1895"/>
      <c r="B49" s="1911"/>
      <c r="C49" s="1090" t="s">
        <v>730</v>
      </c>
      <c r="D49" s="1091" t="s">
        <v>1151</v>
      </c>
      <c r="E49" s="1103" t="s">
        <v>870</v>
      </c>
      <c r="F49" s="1103" t="s">
        <v>871</v>
      </c>
      <c r="G49" s="1093" t="s">
        <v>872</v>
      </c>
      <c r="H49" s="1093" t="s">
        <v>873</v>
      </c>
      <c r="I49" s="1093" t="s">
        <v>874</v>
      </c>
      <c r="J49" s="1093" t="s">
        <v>875</v>
      </c>
      <c r="K49" s="1094" t="s">
        <v>876</v>
      </c>
      <c r="L49" s="1093" t="s">
        <v>877</v>
      </c>
      <c r="M49" s="1093" t="s">
        <v>878</v>
      </c>
      <c r="N49" s="1093" t="s">
        <v>879</v>
      </c>
      <c r="O49" s="1093" t="s">
        <v>880</v>
      </c>
      <c r="P49" s="1093" t="s">
        <v>881</v>
      </c>
      <c r="Q49" s="1094" t="s">
        <v>778</v>
      </c>
      <c r="R49" s="1094" t="s">
        <v>1224</v>
      </c>
      <c r="S49" s="1094" t="s">
        <v>1225</v>
      </c>
      <c r="T49" s="1094" t="s">
        <v>1226</v>
      </c>
      <c r="U49" s="1094" t="s">
        <v>1227</v>
      </c>
      <c r="V49" s="1102" t="s">
        <v>1228</v>
      </c>
    </row>
    <row r="50" spans="1:22" ht="54.75" customHeight="1">
      <c r="A50" s="1894">
        <f>A48+1</f>
        <v>19</v>
      </c>
      <c r="B50" s="1896" t="s">
        <v>202</v>
      </c>
      <c r="C50" s="1084" t="s">
        <v>729</v>
      </c>
      <c r="D50" s="1085" t="s">
        <v>1151</v>
      </c>
      <c r="E50" s="1086"/>
      <c r="F50" s="1086"/>
      <c r="G50" s="1086"/>
      <c r="H50" s="1086"/>
      <c r="I50" s="1087">
        <v>2.3379629629629631E-3</v>
      </c>
      <c r="J50" s="1087">
        <v>2.5300925925925929E-3</v>
      </c>
      <c r="K50" s="1087">
        <v>2.5092592592592593E-3</v>
      </c>
      <c r="L50" s="1087">
        <v>2.7222222222222218E-3</v>
      </c>
      <c r="M50" s="1087">
        <v>2.7175925925925926E-3</v>
      </c>
      <c r="N50" s="1087">
        <v>2.9328703703703704E-3</v>
      </c>
      <c r="O50" s="1087">
        <v>2.9259259259259256E-3</v>
      </c>
      <c r="P50" s="1087">
        <v>3.1597222222222222E-3</v>
      </c>
      <c r="Q50" s="1106" t="s">
        <v>203</v>
      </c>
      <c r="R50" s="1106" t="s">
        <v>882</v>
      </c>
      <c r="S50" s="1106" t="s">
        <v>204</v>
      </c>
      <c r="T50" s="1106" t="s">
        <v>883</v>
      </c>
      <c r="U50" s="1106" t="s">
        <v>205</v>
      </c>
      <c r="V50" s="1109" t="s">
        <v>884</v>
      </c>
    </row>
    <row r="51" spans="1:22" ht="54.75" customHeight="1" thickBot="1">
      <c r="A51" s="1895"/>
      <c r="B51" s="1911"/>
      <c r="C51" s="1090" t="s">
        <v>730</v>
      </c>
      <c r="D51" s="1091" t="s">
        <v>1151</v>
      </c>
      <c r="E51" s="1103" t="s">
        <v>885</v>
      </c>
      <c r="F51" s="1103" t="s">
        <v>886</v>
      </c>
      <c r="G51" s="1093" t="s">
        <v>887</v>
      </c>
      <c r="H51" s="1093" t="s">
        <v>888</v>
      </c>
      <c r="I51" s="1093" t="s">
        <v>889</v>
      </c>
      <c r="J51" s="1093" t="s">
        <v>890</v>
      </c>
      <c r="K51" s="1094" t="s">
        <v>891</v>
      </c>
      <c r="L51" s="1093" t="s">
        <v>892</v>
      </c>
      <c r="M51" s="1093" t="s">
        <v>893</v>
      </c>
      <c r="N51" s="1093" t="s">
        <v>894</v>
      </c>
      <c r="O51" s="1093" t="s">
        <v>895</v>
      </c>
      <c r="P51" s="1093" t="s">
        <v>896</v>
      </c>
      <c r="Q51" s="1094" t="s">
        <v>1229</v>
      </c>
      <c r="R51" s="1094" t="s">
        <v>794</v>
      </c>
      <c r="S51" s="1094" t="s">
        <v>1230</v>
      </c>
      <c r="T51" s="1094" t="s">
        <v>1231</v>
      </c>
      <c r="U51" s="1094" t="s">
        <v>1232</v>
      </c>
      <c r="V51" s="1102" t="s">
        <v>1159</v>
      </c>
    </row>
    <row r="52" spans="1:22" ht="76.5" customHeight="1">
      <c r="A52" s="1894">
        <f>A50+1</f>
        <v>20</v>
      </c>
      <c r="B52" s="1896" t="s">
        <v>206</v>
      </c>
      <c r="C52" s="1084" t="s">
        <v>729</v>
      </c>
      <c r="D52" s="1085" t="s">
        <v>1151</v>
      </c>
      <c r="E52" s="1086"/>
      <c r="F52" s="1086"/>
      <c r="G52" s="1086"/>
      <c r="H52" s="1086"/>
      <c r="I52" s="1087">
        <v>5.0289351851851849E-3</v>
      </c>
      <c r="J52" s="1087">
        <v>5.4166666666666669E-3</v>
      </c>
      <c r="K52" s="1087">
        <v>5.2777777777777771E-3</v>
      </c>
      <c r="L52" s="1087">
        <v>5.7928240740740744E-3</v>
      </c>
      <c r="M52" s="1087">
        <v>5.8449074074074072E-3</v>
      </c>
      <c r="N52" s="1087">
        <v>6.2789351851851851E-3</v>
      </c>
      <c r="O52" s="1087">
        <v>6.3101851851851852E-3</v>
      </c>
      <c r="P52" s="1087">
        <v>6.7650462962962968E-3</v>
      </c>
      <c r="Q52" s="1087">
        <v>6.8865740740740736E-3</v>
      </c>
      <c r="R52" s="1087">
        <v>7.3900462962962973E-3</v>
      </c>
      <c r="S52" s="1087">
        <v>7.5694444444444446E-3</v>
      </c>
      <c r="T52" s="1087">
        <v>8.1249999999999985E-3</v>
      </c>
      <c r="U52" s="1087">
        <v>8.2233796296296308E-3</v>
      </c>
      <c r="V52" s="1098">
        <v>8.7557870370370359E-3</v>
      </c>
    </row>
    <row r="53" spans="1:22" ht="70.5" customHeight="1" thickBot="1">
      <c r="A53" s="1895"/>
      <c r="B53" s="1911"/>
      <c r="C53" s="1090" t="s">
        <v>730</v>
      </c>
      <c r="D53" s="1091" t="s">
        <v>1151</v>
      </c>
      <c r="E53" s="1103" t="s">
        <v>897</v>
      </c>
      <c r="F53" s="1103" t="s">
        <v>898</v>
      </c>
      <c r="G53" s="1093" t="s">
        <v>899</v>
      </c>
      <c r="H53" s="1093" t="s">
        <v>900</v>
      </c>
      <c r="I53" s="1093" t="s">
        <v>901</v>
      </c>
      <c r="J53" s="1093" t="s">
        <v>902</v>
      </c>
      <c r="K53" s="1094" t="s">
        <v>903</v>
      </c>
      <c r="L53" s="1093" t="s">
        <v>904</v>
      </c>
      <c r="M53" s="1093" t="s">
        <v>905</v>
      </c>
      <c r="N53" s="1093" t="s">
        <v>906</v>
      </c>
      <c r="O53" s="1093" t="s">
        <v>907</v>
      </c>
      <c r="P53" s="1093" t="s">
        <v>908</v>
      </c>
      <c r="Q53" s="1094" t="s">
        <v>1233</v>
      </c>
      <c r="R53" s="1094" t="s">
        <v>1234</v>
      </c>
      <c r="S53" s="1094" t="s">
        <v>1235</v>
      </c>
      <c r="T53" s="1094" t="s">
        <v>1236</v>
      </c>
      <c r="U53" s="1094" t="s">
        <v>1237</v>
      </c>
      <c r="V53" s="1102" t="s">
        <v>1238</v>
      </c>
    </row>
    <row r="54" spans="1:22" ht="76.5" customHeight="1">
      <c r="A54" s="1894">
        <f>A52+1</f>
        <v>21</v>
      </c>
      <c r="B54" s="1896" t="s">
        <v>909</v>
      </c>
      <c r="C54" s="1084" t="s">
        <v>729</v>
      </c>
      <c r="D54" s="1085" t="s">
        <v>1151</v>
      </c>
      <c r="E54" s="1086"/>
      <c r="F54" s="1086"/>
      <c r="G54" s="1086"/>
      <c r="H54" s="1086"/>
      <c r="I54" s="1087">
        <v>9.6990740740740735E-3</v>
      </c>
      <c r="J54" s="1087">
        <v>1.0399305555555556E-2</v>
      </c>
      <c r="K54" s="1088">
        <v>1.0329861111111111E-2</v>
      </c>
      <c r="L54" s="1087">
        <v>1.1111111111111112E-2</v>
      </c>
      <c r="M54" s="1087">
        <v>1.1284722222222222E-2</v>
      </c>
      <c r="N54" s="1087">
        <v>1.208912037037037E-2</v>
      </c>
      <c r="O54" s="1087">
        <v>1.2187500000000002E-2</v>
      </c>
      <c r="P54" s="1087">
        <v>1.3078703703703703E-2</v>
      </c>
      <c r="Q54" s="1107"/>
      <c r="R54" s="1107"/>
      <c r="S54" s="1107"/>
      <c r="T54" s="1107"/>
      <c r="U54" s="1107"/>
      <c r="V54" s="1110"/>
    </row>
    <row r="55" spans="1:22" ht="72.95" customHeight="1" thickBot="1">
      <c r="A55" s="1895"/>
      <c r="B55" s="1911"/>
      <c r="C55" s="1090" t="s">
        <v>730</v>
      </c>
      <c r="D55" s="1091" t="s">
        <v>1151</v>
      </c>
      <c r="E55" s="1103" t="s">
        <v>910</v>
      </c>
      <c r="F55" s="1103" t="s">
        <v>911</v>
      </c>
      <c r="G55" s="1093" t="s">
        <v>912</v>
      </c>
      <c r="H55" s="1093" t="s">
        <v>913</v>
      </c>
      <c r="I55" s="1093" t="s">
        <v>914</v>
      </c>
      <c r="J55" s="1093" t="s">
        <v>915</v>
      </c>
      <c r="K55" s="1094" t="s">
        <v>916</v>
      </c>
      <c r="L55" s="1093" t="s">
        <v>917</v>
      </c>
      <c r="M55" s="1093" t="s">
        <v>918</v>
      </c>
      <c r="N55" s="1093" t="s">
        <v>919</v>
      </c>
      <c r="O55" s="1093" t="s">
        <v>920</v>
      </c>
      <c r="P55" s="1093" t="s">
        <v>921</v>
      </c>
      <c r="Q55" s="1104"/>
      <c r="R55" s="1104"/>
      <c r="S55" s="1104"/>
      <c r="T55" s="1104"/>
      <c r="U55" s="1104"/>
      <c r="V55" s="1105"/>
    </row>
    <row r="56" spans="1:22" ht="90.75" customHeight="1">
      <c r="A56" s="1894">
        <f>A54+1</f>
        <v>22</v>
      </c>
      <c r="B56" s="1896" t="s">
        <v>1239</v>
      </c>
      <c r="C56" s="1084" t="s">
        <v>729</v>
      </c>
      <c r="D56" s="1085" t="s">
        <v>1151</v>
      </c>
      <c r="E56" s="1086"/>
      <c r="F56" s="1086"/>
      <c r="G56" s="1086"/>
      <c r="H56" s="1086"/>
      <c r="I56" s="1087">
        <v>2.0370370370370369E-4</v>
      </c>
      <c r="J56" s="1087">
        <v>2.2800925925925926E-4</v>
      </c>
      <c r="K56" s="1087">
        <v>2.1412037037037038E-4</v>
      </c>
      <c r="L56" s="1087">
        <v>2.4421296296296295E-4</v>
      </c>
      <c r="M56" s="1087">
        <v>2.3263888888888889E-4</v>
      </c>
      <c r="N56" s="1087">
        <v>2.6504629629629626E-4</v>
      </c>
      <c r="O56" s="1087">
        <v>2.5347222222222221E-4</v>
      </c>
      <c r="P56" s="1087">
        <v>2.8703703703703703E-4</v>
      </c>
      <c r="Q56" s="1106" t="s">
        <v>188</v>
      </c>
      <c r="R56" s="1106" t="s">
        <v>189</v>
      </c>
      <c r="S56" s="1106" t="s">
        <v>190</v>
      </c>
      <c r="T56" s="1106" t="s">
        <v>191</v>
      </c>
      <c r="U56" s="1106" t="s">
        <v>192</v>
      </c>
      <c r="V56" s="1109" t="s">
        <v>193</v>
      </c>
    </row>
    <row r="57" spans="1:22" ht="90.75" customHeight="1" thickBot="1">
      <c r="A57" s="1895"/>
      <c r="B57" s="1911"/>
      <c r="C57" s="1090" t="s">
        <v>730</v>
      </c>
      <c r="D57" s="1091" t="s">
        <v>1151</v>
      </c>
      <c r="E57" s="1103" t="s">
        <v>844</v>
      </c>
      <c r="F57" s="1103" t="s">
        <v>845</v>
      </c>
      <c r="G57" s="1093" t="s">
        <v>846</v>
      </c>
      <c r="H57" s="1093" t="s">
        <v>847</v>
      </c>
      <c r="I57" s="1093" t="s">
        <v>848</v>
      </c>
      <c r="J57" s="1093" t="s">
        <v>849</v>
      </c>
      <c r="K57" s="1094" t="s">
        <v>850</v>
      </c>
      <c r="L57" s="1093" t="s">
        <v>739</v>
      </c>
      <c r="M57" s="1093" t="s">
        <v>851</v>
      </c>
      <c r="N57" s="1093" t="s">
        <v>741</v>
      </c>
      <c r="O57" s="1093" t="s">
        <v>852</v>
      </c>
      <c r="P57" s="1093" t="s">
        <v>853</v>
      </c>
      <c r="Q57" s="1094" t="s">
        <v>1213</v>
      </c>
      <c r="R57" s="1094" t="s">
        <v>1214</v>
      </c>
      <c r="S57" s="1094" t="s">
        <v>1215</v>
      </c>
      <c r="T57" s="1094" t="s">
        <v>1216</v>
      </c>
      <c r="U57" s="1094" t="s">
        <v>1217</v>
      </c>
      <c r="V57" s="1102" t="s">
        <v>1169</v>
      </c>
    </row>
    <row r="58" spans="1:22" ht="90.75" customHeight="1">
      <c r="A58" s="1894">
        <f>A56+1</f>
        <v>23</v>
      </c>
      <c r="B58" s="1896" t="s">
        <v>922</v>
      </c>
      <c r="C58" s="1084" t="s">
        <v>729</v>
      </c>
      <c r="D58" s="1085" t="s">
        <v>1151</v>
      </c>
      <c r="E58" s="1086"/>
      <c r="F58" s="1086"/>
      <c r="G58" s="1086"/>
      <c r="H58" s="1086"/>
      <c r="I58" s="1087">
        <v>4.5601851851851852E-4</v>
      </c>
      <c r="J58" s="1087">
        <v>5.0694444444444441E-4</v>
      </c>
      <c r="K58" s="1087">
        <v>4.895833333333333E-4</v>
      </c>
      <c r="L58" s="1087">
        <v>5.4398148148148144E-4</v>
      </c>
      <c r="M58" s="1087">
        <v>5.3125000000000004E-4</v>
      </c>
      <c r="N58" s="1087">
        <v>5.9027777777777778E-4</v>
      </c>
      <c r="O58" s="1087">
        <v>5.7638888888888887E-4</v>
      </c>
      <c r="P58" s="1087">
        <v>6.3888888888888893E-4</v>
      </c>
      <c r="Q58" s="1106" t="s">
        <v>195</v>
      </c>
      <c r="R58" s="1106" t="s">
        <v>854</v>
      </c>
      <c r="S58" s="1106" t="s">
        <v>196</v>
      </c>
      <c r="T58" s="1106" t="s">
        <v>855</v>
      </c>
      <c r="U58" s="1106" t="s">
        <v>197</v>
      </c>
      <c r="V58" s="1098">
        <v>8.1481481481481476E-4</v>
      </c>
    </row>
    <row r="59" spans="1:22" ht="90.75" customHeight="1" thickBot="1">
      <c r="A59" s="1895"/>
      <c r="B59" s="1911"/>
      <c r="C59" s="1090" t="s">
        <v>730</v>
      </c>
      <c r="D59" s="1091" t="s">
        <v>1151</v>
      </c>
      <c r="E59" s="1103" t="s">
        <v>856</v>
      </c>
      <c r="F59" s="1103" t="s">
        <v>857</v>
      </c>
      <c r="G59" s="1093" t="s">
        <v>858</v>
      </c>
      <c r="H59" s="1093" t="s">
        <v>859</v>
      </c>
      <c r="I59" s="1093" t="s">
        <v>860</v>
      </c>
      <c r="J59" s="1093" t="s">
        <v>821</v>
      </c>
      <c r="K59" s="1094" t="s">
        <v>861</v>
      </c>
      <c r="L59" s="1093" t="s">
        <v>862</v>
      </c>
      <c r="M59" s="1093" t="s">
        <v>863</v>
      </c>
      <c r="N59" s="1093" t="s">
        <v>864</v>
      </c>
      <c r="O59" s="1093" t="s">
        <v>865</v>
      </c>
      <c r="P59" s="1093" t="s">
        <v>866</v>
      </c>
      <c r="Q59" s="1094" t="s">
        <v>1218</v>
      </c>
      <c r="R59" s="1094" t="s">
        <v>1219</v>
      </c>
      <c r="S59" s="1094" t="s">
        <v>1220</v>
      </c>
      <c r="T59" s="1094" t="s">
        <v>1221</v>
      </c>
      <c r="U59" s="1094" t="s">
        <v>1222</v>
      </c>
      <c r="V59" s="1102" t="s">
        <v>1223</v>
      </c>
    </row>
    <row r="60" spans="1:22" ht="90.75" customHeight="1">
      <c r="A60" s="1894">
        <f>A58+1</f>
        <v>24</v>
      </c>
      <c r="B60" s="1896" t="s">
        <v>923</v>
      </c>
      <c r="C60" s="1084" t="s">
        <v>729</v>
      </c>
      <c r="D60" s="1085" t="s">
        <v>1151</v>
      </c>
      <c r="E60" s="1086"/>
      <c r="F60" s="1086"/>
      <c r="G60" s="1086"/>
      <c r="H60" s="1086"/>
      <c r="I60" s="1087">
        <v>1.0590277777777777E-3</v>
      </c>
      <c r="J60" s="1087">
        <v>1.1689814814814816E-3</v>
      </c>
      <c r="K60" s="1087">
        <v>1.1342592592592591E-3</v>
      </c>
      <c r="L60" s="1087">
        <v>1.2442129629629628E-3</v>
      </c>
      <c r="M60" s="1087">
        <v>1.2384259259259258E-3</v>
      </c>
      <c r="N60" s="1087">
        <v>1.3599537037037037E-3</v>
      </c>
      <c r="O60" s="1087">
        <v>1.3368055555555555E-3</v>
      </c>
      <c r="P60" s="1087">
        <v>1.4606481481481482E-3</v>
      </c>
      <c r="Q60" s="1106" t="s">
        <v>199</v>
      </c>
      <c r="R60" s="1106" t="s">
        <v>867</v>
      </c>
      <c r="S60" s="1106" t="s">
        <v>200</v>
      </c>
      <c r="T60" s="1106" t="s">
        <v>868</v>
      </c>
      <c r="U60" s="1106" t="s">
        <v>201</v>
      </c>
      <c r="V60" s="1109" t="s">
        <v>869</v>
      </c>
    </row>
    <row r="61" spans="1:22" ht="90.75" customHeight="1" thickBot="1">
      <c r="A61" s="1895"/>
      <c r="B61" s="1911"/>
      <c r="C61" s="1090" t="s">
        <v>730</v>
      </c>
      <c r="D61" s="1091" t="s">
        <v>1151</v>
      </c>
      <c r="E61" s="1103" t="s">
        <v>870</v>
      </c>
      <c r="F61" s="1103" t="s">
        <v>871</v>
      </c>
      <c r="G61" s="1093" t="s">
        <v>872</v>
      </c>
      <c r="H61" s="1093" t="s">
        <v>873</v>
      </c>
      <c r="I61" s="1093" t="s">
        <v>874</v>
      </c>
      <c r="J61" s="1093" t="s">
        <v>875</v>
      </c>
      <c r="K61" s="1094" t="s">
        <v>876</v>
      </c>
      <c r="L61" s="1093" t="s">
        <v>877</v>
      </c>
      <c r="M61" s="1093" t="s">
        <v>878</v>
      </c>
      <c r="N61" s="1093" t="s">
        <v>879</v>
      </c>
      <c r="O61" s="1093" t="s">
        <v>880</v>
      </c>
      <c r="P61" s="1093" t="s">
        <v>881</v>
      </c>
      <c r="Q61" s="1094" t="s">
        <v>778</v>
      </c>
      <c r="R61" s="1094" t="s">
        <v>1224</v>
      </c>
      <c r="S61" s="1094" t="s">
        <v>1225</v>
      </c>
      <c r="T61" s="1094" t="s">
        <v>1226</v>
      </c>
      <c r="U61" s="1094" t="s">
        <v>1227</v>
      </c>
      <c r="V61" s="1102" t="s">
        <v>1228</v>
      </c>
    </row>
    <row r="62" spans="1:22" ht="56.25" customHeight="1" thickBot="1">
      <c r="A62" s="1894">
        <f>A60+1</f>
        <v>25</v>
      </c>
      <c r="B62" s="1896" t="s">
        <v>1240</v>
      </c>
      <c r="C62" s="1111" t="s">
        <v>729</v>
      </c>
      <c r="D62" s="1077" t="s">
        <v>1151</v>
      </c>
      <c r="E62" s="1079"/>
      <c r="F62" s="1079"/>
      <c r="G62" s="1079"/>
      <c r="H62" s="1079"/>
      <c r="I62" s="1112">
        <v>4.1898148148148155E-4</v>
      </c>
      <c r="J62" s="1112">
        <v>4.5949074074074078E-4</v>
      </c>
      <c r="K62" s="1112">
        <v>4.4907407407407401E-4</v>
      </c>
      <c r="L62" s="1112">
        <v>4.9305555555555561E-4</v>
      </c>
      <c r="M62" s="1112">
        <v>4.8726851851851855E-4</v>
      </c>
      <c r="N62" s="1112">
        <v>5.3472222222222224E-4</v>
      </c>
      <c r="O62" s="1112">
        <v>5.3009259259259253E-4</v>
      </c>
      <c r="P62" s="1112">
        <v>5.8101851851851858E-4</v>
      </c>
      <c r="Q62" s="1113" t="s">
        <v>207</v>
      </c>
      <c r="R62" s="1113" t="s">
        <v>208</v>
      </c>
      <c r="S62" s="1113" t="s">
        <v>209</v>
      </c>
      <c r="T62" s="1113" t="s">
        <v>210</v>
      </c>
      <c r="U62" s="1113" t="s">
        <v>211</v>
      </c>
      <c r="V62" s="1114" t="s">
        <v>212</v>
      </c>
    </row>
    <row r="63" spans="1:22" ht="56.25" customHeight="1" thickBot="1">
      <c r="A63" s="1895"/>
      <c r="B63" s="1911"/>
      <c r="C63" s="1111" t="s">
        <v>730</v>
      </c>
      <c r="D63" s="1077" t="s">
        <v>1151</v>
      </c>
      <c r="E63" s="1115" t="s">
        <v>924</v>
      </c>
      <c r="F63" s="1115" t="s">
        <v>925</v>
      </c>
      <c r="G63" s="1113" t="s">
        <v>926</v>
      </c>
      <c r="H63" s="1113" t="s">
        <v>927</v>
      </c>
      <c r="I63" s="1113" t="s">
        <v>928</v>
      </c>
      <c r="J63" s="1113" t="s">
        <v>929</v>
      </c>
      <c r="K63" s="1116" t="s">
        <v>857</v>
      </c>
      <c r="L63" s="1113" t="s">
        <v>930</v>
      </c>
      <c r="M63" s="1113" t="s">
        <v>931</v>
      </c>
      <c r="N63" s="1113" t="s">
        <v>932</v>
      </c>
      <c r="O63" s="1113" t="s">
        <v>822</v>
      </c>
      <c r="P63" s="1113" t="s">
        <v>933</v>
      </c>
      <c r="Q63" s="1116" t="s">
        <v>933</v>
      </c>
      <c r="R63" s="1116" t="s">
        <v>1241</v>
      </c>
      <c r="S63" s="1116" t="s">
        <v>1242</v>
      </c>
      <c r="T63" s="1116" t="s">
        <v>1243</v>
      </c>
      <c r="U63" s="1116" t="s">
        <v>1244</v>
      </c>
      <c r="V63" s="1117" t="s">
        <v>1245</v>
      </c>
    </row>
    <row r="64" spans="1:22" ht="54.75" customHeight="1">
      <c r="A64" s="1894">
        <f>A62+1</f>
        <v>26</v>
      </c>
      <c r="B64" s="1896" t="s">
        <v>934</v>
      </c>
      <c r="C64" s="1084" t="s">
        <v>729</v>
      </c>
      <c r="D64" s="1085" t="s">
        <v>1151</v>
      </c>
      <c r="E64" s="1086"/>
      <c r="F64" s="1086"/>
      <c r="G64" s="1086"/>
      <c r="H64" s="1086"/>
      <c r="I64" s="1118">
        <v>2.1724537037037038E-3</v>
      </c>
      <c r="J64" s="1118">
        <v>2.3495370370370371E-3</v>
      </c>
      <c r="K64" s="1118">
        <v>2.3263888888888887E-3</v>
      </c>
      <c r="L64" s="1118">
        <v>2.5231481481481481E-3</v>
      </c>
      <c r="M64" s="1118">
        <v>2.5231481481481481E-3</v>
      </c>
      <c r="N64" s="1118">
        <v>2.7314814814814819E-3</v>
      </c>
      <c r="O64" s="1118">
        <v>2.7372685185185187E-3</v>
      </c>
      <c r="P64" s="1118">
        <v>2.9513888888888888E-3</v>
      </c>
      <c r="Q64" s="1119"/>
      <c r="R64" s="1119"/>
      <c r="S64" s="1119"/>
      <c r="T64" s="1119"/>
      <c r="U64" s="1119"/>
      <c r="V64" s="1120"/>
    </row>
    <row r="65" spans="1:22" ht="54.75" customHeight="1" thickBot="1">
      <c r="A65" s="1895"/>
      <c r="B65" s="1911"/>
      <c r="C65" s="1090" t="s">
        <v>730</v>
      </c>
      <c r="D65" s="1091" t="s">
        <v>1151</v>
      </c>
      <c r="E65" s="1103" t="s">
        <v>935</v>
      </c>
      <c r="F65" s="1103" t="s">
        <v>936</v>
      </c>
      <c r="G65" s="1093" t="s">
        <v>937</v>
      </c>
      <c r="H65" s="1093" t="s">
        <v>938</v>
      </c>
      <c r="I65" s="1093" t="s">
        <v>939</v>
      </c>
      <c r="J65" s="1093" t="s">
        <v>940</v>
      </c>
      <c r="K65" s="1094" t="s">
        <v>941</v>
      </c>
      <c r="L65" s="1093" t="s">
        <v>942</v>
      </c>
      <c r="M65" s="1093" t="s">
        <v>942</v>
      </c>
      <c r="N65" s="1093" t="s">
        <v>943</v>
      </c>
      <c r="O65" s="1093" t="s">
        <v>944</v>
      </c>
      <c r="P65" s="1093" t="s">
        <v>945</v>
      </c>
      <c r="Q65" s="1104"/>
      <c r="R65" s="1104"/>
      <c r="S65" s="1104"/>
      <c r="T65" s="1104"/>
      <c r="U65" s="1104"/>
      <c r="V65" s="1105"/>
    </row>
    <row r="66" spans="1:22" s="1121" customFormat="1" ht="57.75" customHeight="1">
      <c r="A66" s="1894">
        <f>A64+1</f>
        <v>27</v>
      </c>
      <c r="B66" s="1910" t="s">
        <v>1087</v>
      </c>
      <c r="C66" s="1084" t="s">
        <v>729</v>
      </c>
      <c r="D66" s="1085" t="s">
        <v>1151</v>
      </c>
      <c r="E66" s="1086"/>
      <c r="F66" s="1086"/>
      <c r="G66" s="1086"/>
      <c r="H66" s="1086"/>
      <c r="I66" s="1087">
        <v>4.409722222222222E-3</v>
      </c>
      <c r="J66" s="1087">
        <v>4.8032407407407407E-3</v>
      </c>
      <c r="K66" s="1087">
        <v>4.7916666666666672E-3</v>
      </c>
      <c r="L66" s="1087">
        <v>5.2662037037037035E-3</v>
      </c>
      <c r="M66" s="1087">
        <v>5.5439814814814822E-3</v>
      </c>
      <c r="N66" s="1087">
        <v>6.1342592592592594E-3</v>
      </c>
      <c r="O66" s="1087">
        <v>6.5972222222222222E-3</v>
      </c>
      <c r="P66" s="1087">
        <v>7.2453703703703708E-3</v>
      </c>
      <c r="Q66" s="1086"/>
      <c r="R66" s="1086"/>
      <c r="S66" s="1086"/>
      <c r="T66" s="1086"/>
      <c r="U66" s="1086"/>
      <c r="V66" s="1089"/>
    </row>
    <row r="67" spans="1:22" s="1121" customFormat="1" ht="57.75" customHeight="1" thickBot="1">
      <c r="A67" s="1895"/>
      <c r="B67" s="1911"/>
      <c r="C67" s="1090" t="s">
        <v>730</v>
      </c>
      <c r="D67" s="1091" t="s">
        <v>1151</v>
      </c>
      <c r="E67" s="1122"/>
      <c r="F67" s="1122"/>
      <c r="G67" s="1093" t="s">
        <v>946</v>
      </c>
      <c r="H67" s="1093" t="s">
        <v>947</v>
      </c>
      <c r="I67" s="1093" t="s">
        <v>948</v>
      </c>
      <c r="J67" s="1093" t="s">
        <v>949</v>
      </c>
      <c r="K67" s="1094" t="s">
        <v>950</v>
      </c>
      <c r="L67" s="1093" t="s">
        <v>951</v>
      </c>
      <c r="M67" s="1093" t="s">
        <v>952</v>
      </c>
      <c r="N67" s="1093" t="s">
        <v>953</v>
      </c>
      <c r="O67" s="1093" t="s">
        <v>954</v>
      </c>
      <c r="P67" s="1093" t="s">
        <v>955</v>
      </c>
      <c r="Q67" s="1122"/>
      <c r="R67" s="1122"/>
      <c r="S67" s="1122"/>
      <c r="T67" s="1122"/>
      <c r="U67" s="1122"/>
      <c r="V67" s="1123"/>
    </row>
    <row r="68" spans="1:22" s="1121" customFormat="1" ht="57.75" customHeight="1">
      <c r="A68" s="1894">
        <f>A66+1</f>
        <v>28</v>
      </c>
      <c r="B68" s="1910" t="s">
        <v>1088</v>
      </c>
      <c r="C68" s="1084" t="s">
        <v>729</v>
      </c>
      <c r="D68" s="1085" t="s">
        <v>1151</v>
      </c>
      <c r="E68" s="1086"/>
      <c r="F68" s="1086"/>
      <c r="G68" s="1086"/>
      <c r="H68" s="1086"/>
      <c r="I68" s="1087">
        <v>4.8611111111111112E-3</v>
      </c>
      <c r="J68" s="1087">
        <v>5.347222222222222E-3</v>
      </c>
      <c r="K68" s="1087">
        <v>5.347222222222222E-3</v>
      </c>
      <c r="L68" s="1087">
        <v>5.8449074074074072E-3</v>
      </c>
      <c r="M68" s="1087">
        <v>6.1574074074074074E-3</v>
      </c>
      <c r="N68" s="1087">
        <v>6.7708333333333336E-3</v>
      </c>
      <c r="O68" s="1087">
        <v>7.1759259259259259E-3</v>
      </c>
      <c r="P68" s="1087">
        <v>7.9629629629629634E-3</v>
      </c>
      <c r="Q68" s="1086"/>
      <c r="R68" s="1086"/>
      <c r="S68" s="1086"/>
      <c r="T68" s="1086"/>
      <c r="U68" s="1086"/>
      <c r="V68" s="1089"/>
    </row>
    <row r="69" spans="1:22" s="1121" customFormat="1" ht="57.75" customHeight="1" thickBot="1">
      <c r="A69" s="1895"/>
      <c r="B69" s="1911"/>
      <c r="C69" s="1090" t="s">
        <v>730</v>
      </c>
      <c r="D69" s="1091" t="s">
        <v>1151</v>
      </c>
      <c r="E69" s="1122"/>
      <c r="F69" s="1122"/>
      <c r="G69" s="1093" t="s">
        <v>956</v>
      </c>
      <c r="H69" s="1093" t="s">
        <v>957</v>
      </c>
      <c r="I69" s="1093" t="s">
        <v>958</v>
      </c>
      <c r="J69" s="1093" t="s">
        <v>959</v>
      </c>
      <c r="K69" s="1094" t="s">
        <v>959</v>
      </c>
      <c r="L69" s="1093" t="s">
        <v>905</v>
      </c>
      <c r="M69" s="1093" t="s">
        <v>960</v>
      </c>
      <c r="N69" s="1093" t="s">
        <v>961</v>
      </c>
      <c r="O69" s="1093" t="s">
        <v>962</v>
      </c>
      <c r="P69" s="1093" t="s">
        <v>963</v>
      </c>
      <c r="Q69" s="1122"/>
      <c r="R69" s="1122"/>
      <c r="S69" s="1122"/>
      <c r="T69" s="1122"/>
      <c r="U69" s="1122"/>
      <c r="V69" s="1123"/>
    </row>
    <row r="70" spans="1:22" s="1121" customFormat="1" ht="57.75" customHeight="1">
      <c r="A70" s="1894">
        <f>A68+1</f>
        <v>29</v>
      </c>
      <c r="B70" s="1910" t="s">
        <v>1089</v>
      </c>
      <c r="C70" s="1084" t="s">
        <v>729</v>
      </c>
      <c r="D70" s="1085" t="s">
        <v>1151</v>
      </c>
      <c r="E70" s="1124"/>
      <c r="F70" s="1124"/>
      <c r="G70" s="1086"/>
      <c r="H70" s="1086"/>
      <c r="I70" s="1087">
        <v>4.7453703703703703E-3</v>
      </c>
      <c r="J70" s="1087">
        <v>5.208333333333333E-3</v>
      </c>
      <c r="K70" s="1087">
        <v>5.2314814814814819E-3</v>
      </c>
      <c r="L70" s="1087">
        <v>5.7638888888888887E-3</v>
      </c>
      <c r="M70" s="1087">
        <v>6.053240740740741E-3</v>
      </c>
      <c r="N70" s="1087">
        <v>6.6782407407407415E-3</v>
      </c>
      <c r="O70" s="1087">
        <v>7.0486111111111105E-3</v>
      </c>
      <c r="P70" s="1087">
        <v>7.8472222222222224E-3</v>
      </c>
      <c r="Q70" s="1086"/>
      <c r="R70" s="1086"/>
      <c r="S70" s="1086"/>
      <c r="T70" s="1086"/>
      <c r="U70" s="1086"/>
      <c r="V70" s="1089"/>
    </row>
    <row r="71" spans="1:22" s="1121" customFormat="1" ht="57.75" customHeight="1" thickBot="1">
      <c r="A71" s="1895"/>
      <c r="B71" s="1911"/>
      <c r="C71" s="1090" t="s">
        <v>730</v>
      </c>
      <c r="D71" s="1091" t="s">
        <v>1151</v>
      </c>
      <c r="E71" s="1125"/>
      <c r="F71" s="1125"/>
      <c r="G71" s="1093" t="s">
        <v>947</v>
      </c>
      <c r="H71" s="1093" t="s">
        <v>964</v>
      </c>
      <c r="I71" s="1093" t="s">
        <v>965</v>
      </c>
      <c r="J71" s="1093" t="s">
        <v>966</v>
      </c>
      <c r="K71" s="1094" t="s">
        <v>967</v>
      </c>
      <c r="L71" s="1093" t="s">
        <v>968</v>
      </c>
      <c r="M71" s="1093" t="s">
        <v>969</v>
      </c>
      <c r="N71" s="1093" t="s">
        <v>970</v>
      </c>
      <c r="O71" s="1093" t="s">
        <v>971</v>
      </c>
      <c r="P71" s="1093" t="s">
        <v>972</v>
      </c>
      <c r="Q71" s="1122"/>
      <c r="R71" s="1122"/>
      <c r="S71" s="1122"/>
      <c r="T71" s="1122"/>
      <c r="U71" s="1122"/>
      <c r="V71" s="1123"/>
    </row>
    <row r="72" spans="1:22" s="1121" customFormat="1" ht="57.75" customHeight="1" thickBot="1">
      <c r="A72" s="1894">
        <v>30</v>
      </c>
      <c r="B72" s="1896" t="s">
        <v>1329</v>
      </c>
      <c r="C72" s="1084" t="s">
        <v>729</v>
      </c>
      <c r="D72" s="1085" t="s">
        <v>1151</v>
      </c>
      <c r="E72" s="1086"/>
      <c r="F72" s="1086"/>
      <c r="G72" s="1086"/>
      <c r="H72" s="1086"/>
      <c r="I72" s="1087">
        <v>7.9837962962962961E-3</v>
      </c>
      <c r="J72" s="1087">
        <v>1.1108796296296295E-2</v>
      </c>
      <c r="K72" s="1087">
        <v>1.0414351851851852E-2</v>
      </c>
      <c r="L72" s="1087">
        <v>1.2266203703703705E-2</v>
      </c>
      <c r="M72" s="1087">
        <v>1.1282407407407408E-2</v>
      </c>
      <c r="N72" s="1087">
        <v>1.3018518518518518E-2</v>
      </c>
      <c r="O72" s="1087">
        <v>1.2034722222222223E-2</v>
      </c>
      <c r="P72" s="1087">
        <v>1.3712962962962962E-2</v>
      </c>
      <c r="Q72" s="1079"/>
      <c r="R72" s="1079"/>
      <c r="S72" s="1079"/>
      <c r="T72" s="1079"/>
      <c r="U72" s="1079"/>
      <c r="V72" s="1080"/>
    </row>
    <row r="73" spans="1:22" s="1121" customFormat="1" ht="57.75" customHeight="1" thickBot="1">
      <c r="A73" s="1895"/>
      <c r="B73" s="1897"/>
      <c r="C73" s="1090" t="s">
        <v>730</v>
      </c>
      <c r="D73" s="1091" t="s">
        <v>1151</v>
      </c>
      <c r="E73" s="1103" t="s">
        <v>1330</v>
      </c>
      <c r="F73" s="1103" t="s">
        <v>1331</v>
      </c>
      <c r="G73" s="1103" t="s">
        <v>1332</v>
      </c>
      <c r="H73" s="1103" t="s">
        <v>1333</v>
      </c>
      <c r="I73" s="1103" t="s">
        <v>1334</v>
      </c>
      <c r="J73" s="1103" t="s">
        <v>1335</v>
      </c>
      <c r="K73" s="1103" t="s">
        <v>1336</v>
      </c>
      <c r="L73" s="1103" t="s">
        <v>1337</v>
      </c>
      <c r="M73" s="1103" t="s">
        <v>1338</v>
      </c>
      <c r="N73" s="1103" t="s">
        <v>1339</v>
      </c>
      <c r="O73" s="1103" t="s">
        <v>1340</v>
      </c>
      <c r="P73" s="1103" t="s">
        <v>1341</v>
      </c>
      <c r="Q73" s="1079"/>
      <c r="R73" s="1079"/>
      <c r="S73" s="1079"/>
      <c r="T73" s="1079"/>
      <c r="U73" s="1079"/>
      <c r="V73" s="1080"/>
    </row>
    <row r="74" spans="1:22" s="1121" customFormat="1" ht="103.5" customHeight="1" thickBot="1">
      <c r="A74" s="1074">
        <v>31</v>
      </c>
      <c r="B74" s="1075" t="s">
        <v>1342</v>
      </c>
      <c r="C74" s="1076"/>
      <c r="D74" s="1077" t="s">
        <v>753</v>
      </c>
      <c r="E74" s="1081">
        <v>225</v>
      </c>
      <c r="F74" s="1081">
        <v>205</v>
      </c>
      <c r="G74" s="1082">
        <v>195</v>
      </c>
      <c r="H74" s="1082">
        <v>151</v>
      </c>
      <c r="I74" s="1082">
        <v>152</v>
      </c>
      <c r="J74" s="1082">
        <v>118</v>
      </c>
      <c r="K74" s="1082">
        <v>125</v>
      </c>
      <c r="L74" s="1082">
        <v>98</v>
      </c>
      <c r="M74" s="1082">
        <v>98</v>
      </c>
      <c r="N74" s="1082">
        <v>75</v>
      </c>
      <c r="O74" s="1082">
        <v>78</v>
      </c>
      <c r="P74" s="1082">
        <v>58</v>
      </c>
      <c r="Q74" s="1079"/>
      <c r="R74" s="1079"/>
      <c r="S74" s="1079"/>
      <c r="T74" s="1079"/>
      <c r="U74" s="1079"/>
      <c r="V74" s="1080"/>
    </row>
    <row r="75" spans="1:22" s="1121" customFormat="1" ht="103.5" customHeight="1" thickBot="1">
      <c r="A75" s="1074">
        <v>32</v>
      </c>
      <c r="B75" s="1075" t="s">
        <v>1343</v>
      </c>
      <c r="C75" s="1076"/>
      <c r="D75" s="1077" t="s">
        <v>753</v>
      </c>
      <c r="E75" s="1081">
        <v>91</v>
      </c>
      <c r="F75" s="1081">
        <v>85</v>
      </c>
      <c r="G75" s="1082">
        <v>80</v>
      </c>
      <c r="H75" s="1082">
        <v>71</v>
      </c>
      <c r="I75" s="1082">
        <v>73</v>
      </c>
      <c r="J75" s="1082">
        <v>64</v>
      </c>
      <c r="K75" s="1083">
        <v>65</v>
      </c>
      <c r="L75" s="1082">
        <v>58</v>
      </c>
      <c r="M75" s="1082">
        <v>60</v>
      </c>
      <c r="N75" s="1082">
        <v>52</v>
      </c>
      <c r="O75" s="1082">
        <v>50</v>
      </c>
      <c r="P75" s="1082">
        <v>45</v>
      </c>
      <c r="Q75" s="1079"/>
      <c r="R75" s="1079"/>
      <c r="S75" s="1079"/>
      <c r="T75" s="1079"/>
      <c r="U75" s="1079"/>
      <c r="V75" s="1080"/>
    </row>
    <row r="76" spans="1:22" s="1121" customFormat="1" ht="32.25" customHeight="1">
      <c r="A76" s="1898" t="s">
        <v>216</v>
      </c>
      <c r="B76" s="1899"/>
      <c r="C76" s="1904" t="s">
        <v>1246</v>
      </c>
      <c r="D76" s="1905"/>
      <c r="E76" s="1905"/>
      <c r="F76" s="1905"/>
      <c r="G76" s="1905"/>
      <c r="H76" s="1905"/>
      <c r="I76" s="1905"/>
      <c r="J76" s="1905"/>
      <c r="K76" s="1905"/>
      <c r="L76" s="1905"/>
      <c r="M76" s="1905"/>
      <c r="N76" s="1905"/>
      <c r="O76" s="1905"/>
      <c r="P76" s="1905"/>
      <c r="Q76" s="1905"/>
      <c r="R76" s="1905"/>
      <c r="S76" s="1905"/>
      <c r="T76" s="1905"/>
      <c r="U76" s="1905"/>
      <c r="V76" s="1906"/>
    </row>
    <row r="77" spans="1:22" s="1121" customFormat="1" ht="73.5" customHeight="1">
      <c r="A77" s="1900"/>
      <c r="B77" s="1901"/>
      <c r="C77" s="1893" t="s">
        <v>1247</v>
      </c>
      <c r="D77" s="1866"/>
      <c r="E77" s="1866"/>
      <c r="F77" s="1866"/>
      <c r="G77" s="1866"/>
      <c r="H77" s="1866"/>
      <c r="I77" s="1866"/>
      <c r="J77" s="1866"/>
      <c r="K77" s="1866"/>
      <c r="L77" s="1866"/>
      <c r="M77" s="1866"/>
      <c r="N77" s="1866"/>
      <c r="O77" s="1866"/>
      <c r="P77" s="1866"/>
      <c r="Q77" s="1866"/>
      <c r="R77" s="1866"/>
      <c r="S77" s="1866"/>
      <c r="T77" s="1866"/>
      <c r="U77" s="1866"/>
      <c r="V77" s="1867"/>
    </row>
    <row r="78" spans="1:22" s="1121" customFormat="1" ht="60.75" customHeight="1">
      <c r="A78" s="1900"/>
      <c r="B78" s="1901"/>
      <c r="C78" s="1884" t="s">
        <v>1248</v>
      </c>
      <c r="D78" s="1885"/>
      <c r="E78" s="1885"/>
      <c r="F78" s="1885"/>
      <c r="G78" s="1885"/>
      <c r="H78" s="1885"/>
      <c r="I78" s="1885"/>
      <c r="J78" s="1885"/>
      <c r="K78" s="1885"/>
      <c r="L78" s="1885"/>
      <c r="M78" s="1885"/>
      <c r="N78" s="1885"/>
      <c r="O78" s="1885"/>
      <c r="P78" s="1885"/>
      <c r="Q78" s="1885"/>
      <c r="R78" s="1885"/>
      <c r="S78" s="1885"/>
      <c r="T78" s="1885"/>
      <c r="U78" s="1885"/>
      <c r="V78" s="1886"/>
    </row>
    <row r="79" spans="1:22" s="1121" customFormat="1" ht="78.75" customHeight="1">
      <c r="A79" s="1900"/>
      <c r="B79" s="1901"/>
      <c r="C79" s="1868" t="s">
        <v>1249</v>
      </c>
      <c r="D79" s="1907"/>
      <c r="E79" s="1907"/>
      <c r="F79" s="1907"/>
      <c r="G79" s="1907"/>
      <c r="H79" s="1907"/>
      <c r="I79" s="1907"/>
      <c r="J79" s="1907"/>
      <c r="K79" s="1907"/>
      <c r="L79" s="1907"/>
      <c r="M79" s="1907"/>
      <c r="N79" s="1907"/>
      <c r="O79" s="1907"/>
      <c r="P79" s="1907"/>
      <c r="Q79" s="1907"/>
      <c r="R79" s="1907"/>
      <c r="S79" s="1907"/>
      <c r="T79" s="1907"/>
      <c r="U79" s="1907"/>
      <c r="V79" s="1908"/>
    </row>
    <row r="80" spans="1:22" s="1121" customFormat="1" ht="48" customHeight="1">
      <c r="A80" s="1900"/>
      <c r="B80" s="1901"/>
      <c r="C80" s="1884" t="s">
        <v>1250</v>
      </c>
      <c r="D80" s="1885"/>
      <c r="E80" s="1885"/>
      <c r="F80" s="1885"/>
      <c r="G80" s="1885"/>
      <c r="H80" s="1885"/>
      <c r="I80" s="1885"/>
      <c r="J80" s="1885"/>
      <c r="K80" s="1885"/>
      <c r="L80" s="1885"/>
      <c r="M80" s="1885"/>
      <c r="N80" s="1885"/>
      <c r="O80" s="1885"/>
      <c r="P80" s="1885"/>
      <c r="Q80" s="1885"/>
      <c r="R80" s="1885"/>
      <c r="S80" s="1885"/>
      <c r="T80" s="1885"/>
      <c r="U80" s="1885"/>
      <c r="V80" s="1886"/>
    </row>
    <row r="81" spans="1:22" s="1121" customFormat="1" ht="27" customHeight="1">
      <c r="A81" s="1900"/>
      <c r="B81" s="1901"/>
      <c r="C81" s="1884" t="s">
        <v>1251</v>
      </c>
      <c r="D81" s="1885"/>
      <c r="E81" s="1885"/>
      <c r="F81" s="1885"/>
      <c r="G81" s="1885"/>
      <c r="H81" s="1885"/>
      <c r="I81" s="1885"/>
      <c r="J81" s="1885"/>
      <c r="K81" s="1885"/>
      <c r="L81" s="1885"/>
      <c r="M81" s="1885"/>
      <c r="N81" s="1885"/>
      <c r="O81" s="1885"/>
      <c r="P81" s="1885"/>
      <c r="Q81" s="1885"/>
      <c r="R81" s="1885"/>
      <c r="S81" s="1885"/>
      <c r="T81" s="1885"/>
      <c r="U81" s="1885"/>
      <c r="V81" s="1886"/>
    </row>
    <row r="82" spans="1:22" s="1121" customFormat="1" ht="29.25" customHeight="1">
      <c r="A82" s="1900"/>
      <c r="B82" s="1901"/>
      <c r="C82" s="1909" t="s">
        <v>1252</v>
      </c>
      <c r="D82" s="1866"/>
      <c r="E82" s="1866"/>
      <c r="F82" s="1866"/>
      <c r="G82" s="1866"/>
      <c r="H82" s="1866"/>
      <c r="I82" s="1866"/>
      <c r="J82" s="1866"/>
      <c r="K82" s="1866"/>
      <c r="L82" s="1866"/>
      <c r="M82" s="1866"/>
      <c r="N82" s="1866"/>
      <c r="O82" s="1866"/>
      <c r="P82" s="1866"/>
      <c r="Q82" s="1866"/>
      <c r="R82" s="1866"/>
      <c r="S82" s="1866"/>
      <c r="T82" s="1866"/>
      <c r="U82" s="1866"/>
      <c r="V82" s="1867"/>
    </row>
    <row r="83" spans="1:22" s="1121" customFormat="1" ht="27.75" customHeight="1">
      <c r="A83" s="1900"/>
      <c r="B83" s="1901"/>
      <c r="C83" s="1884" t="s">
        <v>1253</v>
      </c>
      <c r="D83" s="1885"/>
      <c r="E83" s="1885"/>
      <c r="F83" s="1885"/>
      <c r="G83" s="1885"/>
      <c r="H83" s="1885"/>
      <c r="I83" s="1885"/>
      <c r="J83" s="1885"/>
      <c r="K83" s="1885"/>
      <c r="L83" s="1885"/>
      <c r="M83" s="1885"/>
      <c r="N83" s="1885"/>
      <c r="O83" s="1885"/>
      <c r="P83" s="1885"/>
      <c r="Q83" s="1885"/>
      <c r="R83" s="1885"/>
      <c r="S83" s="1885"/>
      <c r="T83" s="1885"/>
      <c r="U83" s="1885"/>
      <c r="V83" s="1886"/>
    </row>
    <row r="84" spans="1:22" s="1121" customFormat="1" ht="45" customHeight="1">
      <c r="A84" s="1900"/>
      <c r="B84" s="1901"/>
      <c r="C84" s="1884" t="s">
        <v>1254</v>
      </c>
      <c r="D84" s="1885"/>
      <c r="E84" s="1885"/>
      <c r="F84" s="1885"/>
      <c r="G84" s="1885"/>
      <c r="H84" s="1885"/>
      <c r="I84" s="1885"/>
      <c r="J84" s="1885"/>
      <c r="K84" s="1885"/>
      <c r="L84" s="1885"/>
      <c r="M84" s="1885"/>
      <c r="N84" s="1885"/>
      <c r="O84" s="1885"/>
      <c r="P84" s="1885"/>
      <c r="Q84" s="1885"/>
      <c r="R84" s="1885"/>
      <c r="S84" s="1885"/>
      <c r="T84" s="1885"/>
      <c r="U84" s="1885"/>
      <c r="V84" s="1886"/>
    </row>
    <row r="85" spans="1:22" s="1121" customFormat="1" ht="48.75" customHeight="1">
      <c r="A85" s="1902"/>
      <c r="B85" s="1903"/>
      <c r="C85" s="1887" t="s">
        <v>973</v>
      </c>
      <c r="D85" s="1888"/>
      <c r="E85" s="1888"/>
      <c r="F85" s="1888"/>
      <c r="G85" s="1888"/>
      <c r="H85" s="1888"/>
      <c r="I85" s="1888"/>
      <c r="J85" s="1888"/>
      <c r="K85" s="1888"/>
      <c r="L85" s="1888"/>
      <c r="M85" s="1888"/>
      <c r="N85" s="1888"/>
      <c r="O85" s="1888"/>
      <c r="P85" s="1888"/>
      <c r="Q85" s="1888"/>
      <c r="R85" s="1888"/>
      <c r="S85" s="1888"/>
      <c r="T85" s="1888"/>
      <c r="U85" s="1888"/>
      <c r="V85" s="1889"/>
    </row>
    <row r="86" spans="1:22" s="1121" customFormat="1" ht="44.25" customHeight="1">
      <c r="A86" s="1874"/>
      <c r="B86" s="1875"/>
      <c r="C86" s="1890" t="s">
        <v>974</v>
      </c>
      <c r="D86" s="1891"/>
      <c r="E86" s="1891"/>
      <c r="F86" s="1891"/>
      <c r="G86" s="1891"/>
      <c r="H86" s="1891"/>
      <c r="I86" s="1891"/>
      <c r="J86" s="1891"/>
      <c r="K86" s="1891"/>
      <c r="L86" s="1891"/>
      <c r="M86" s="1891"/>
      <c r="N86" s="1891"/>
      <c r="O86" s="1891"/>
      <c r="P86" s="1891"/>
      <c r="Q86" s="1891"/>
      <c r="R86" s="1891"/>
      <c r="S86" s="1891"/>
      <c r="T86" s="1891"/>
      <c r="U86" s="1891"/>
      <c r="V86" s="1892"/>
    </row>
    <row r="87" spans="1:22" s="1121" customFormat="1" ht="43.5" customHeight="1">
      <c r="A87" s="1874"/>
      <c r="B87" s="1875"/>
      <c r="C87" s="1868" t="s">
        <v>1255</v>
      </c>
      <c r="D87" s="1866"/>
      <c r="E87" s="1866"/>
      <c r="F87" s="1866"/>
      <c r="G87" s="1866"/>
      <c r="H87" s="1866"/>
      <c r="I87" s="1866"/>
      <c r="J87" s="1866"/>
      <c r="K87" s="1866"/>
      <c r="L87" s="1866"/>
      <c r="M87" s="1866"/>
      <c r="N87" s="1866"/>
      <c r="O87" s="1866"/>
      <c r="P87" s="1866"/>
      <c r="Q87" s="1866"/>
      <c r="R87" s="1866"/>
      <c r="S87" s="1866"/>
      <c r="T87" s="1866"/>
      <c r="U87" s="1866"/>
      <c r="V87" s="1867"/>
    </row>
    <row r="88" spans="1:22" s="1121" customFormat="1" ht="30" customHeight="1">
      <c r="A88" s="1874"/>
      <c r="B88" s="1875"/>
      <c r="C88" s="1893" t="s">
        <v>1256</v>
      </c>
      <c r="D88" s="1869"/>
      <c r="E88" s="1869"/>
      <c r="F88" s="1869"/>
      <c r="G88" s="1869"/>
      <c r="H88" s="1869"/>
      <c r="I88" s="1869"/>
      <c r="J88" s="1869"/>
      <c r="K88" s="1869"/>
      <c r="L88" s="1869"/>
      <c r="M88" s="1869"/>
      <c r="N88" s="1869"/>
      <c r="O88" s="1869"/>
      <c r="P88" s="1869"/>
      <c r="Q88" s="1869"/>
      <c r="R88" s="1869"/>
      <c r="S88" s="1869"/>
      <c r="T88" s="1869"/>
      <c r="U88" s="1869"/>
      <c r="V88" s="1870"/>
    </row>
    <row r="89" spans="1:22" s="1121" customFormat="1" ht="95.25" customHeight="1">
      <c r="A89" s="1874"/>
      <c r="B89" s="1875"/>
      <c r="C89" s="1865" t="s">
        <v>1257</v>
      </c>
      <c r="D89" s="1866"/>
      <c r="E89" s="1866"/>
      <c r="F89" s="1866"/>
      <c r="G89" s="1866"/>
      <c r="H89" s="1866"/>
      <c r="I89" s="1866"/>
      <c r="J89" s="1866"/>
      <c r="K89" s="1866"/>
      <c r="L89" s="1866"/>
      <c r="M89" s="1866"/>
      <c r="N89" s="1866"/>
      <c r="O89" s="1866"/>
      <c r="P89" s="1866"/>
      <c r="Q89" s="1866"/>
      <c r="R89" s="1866"/>
      <c r="S89" s="1866"/>
      <c r="T89" s="1866"/>
      <c r="U89" s="1866"/>
      <c r="V89" s="1867"/>
    </row>
    <row r="90" spans="1:22" s="1121" customFormat="1" ht="93.75" customHeight="1">
      <c r="A90" s="1874"/>
      <c r="B90" s="1875"/>
      <c r="C90" s="1865" t="s">
        <v>1258</v>
      </c>
      <c r="D90" s="1866"/>
      <c r="E90" s="1866"/>
      <c r="F90" s="1866"/>
      <c r="G90" s="1866"/>
      <c r="H90" s="1866"/>
      <c r="I90" s="1866"/>
      <c r="J90" s="1866"/>
      <c r="K90" s="1866"/>
      <c r="L90" s="1866"/>
      <c r="M90" s="1866"/>
      <c r="N90" s="1866"/>
      <c r="O90" s="1866"/>
      <c r="P90" s="1866"/>
      <c r="Q90" s="1866"/>
      <c r="R90" s="1866"/>
      <c r="S90" s="1866"/>
      <c r="T90" s="1866"/>
      <c r="U90" s="1866"/>
      <c r="V90" s="1867"/>
    </row>
    <row r="91" spans="1:22" s="1065" customFormat="1" ht="54" customHeight="1">
      <c r="A91" s="1874"/>
      <c r="B91" s="1875"/>
      <c r="C91" s="1868" t="s">
        <v>1259</v>
      </c>
      <c r="D91" s="1869"/>
      <c r="E91" s="1869"/>
      <c r="F91" s="1869"/>
      <c r="G91" s="1869"/>
      <c r="H91" s="1869"/>
      <c r="I91" s="1869"/>
      <c r="J91" s="1869"/>
      <c r="K91" s="1869"/>
      <c r="L91" s="1869"/>
      <c r="M91" s="1869"/>
      <c r="N91" s="1869"/>
      <c r="O91" s="1869"/>
      <c r="P91" s="1869"/>
      <c r="Q91" s="1869"/>
      <c r="R91" s="1869"/>
      <c r="S91" s="1869"/>
      <c r="T91" s="1869"/>
      <c r="U91" s="1869"/>
      <c r="V91" s="1870"/>
    </row>
    <row r="92" spans="1:22" s="1065" customFormat="1" ht="39.75" customHeight="1">
      <c r="A92" s="1874"/>
      <c r="B92" s="1875"/>
      <c r="C92" s="1865" t="s">
        <v>1260</v>
      </c>
      <c r="D92" s="1866"/>
      <c r="E92" s="1866"/>
      <c r="F92" s="1866"/>
      <c r="G92" s="1866"/>
      <c r="H92" s="1866"/>
      <c r="I92" s="1866"/>
      <c r="J92" s="1866"/>
      <c r="K92" s="1866"/>
      <c r="L92" s="1866"/>
      <c r="M92" s="1866"/>
      <c r="N92" s="1866"/>
      <c r="O92" s="1866"/>
      <c r="P92" s="1866"/>
      <c r="Q92" s="1866"/>
      <c r="R92" s="1866"/>
      <c r="S92" s="1866"/>
      <c r="T92" s="1866"/>
      <c r="U92" s="1866"/>
      <c r="V92" s="1867"/>
    </row>
    <row r="93" spans="1:22" s="1065" customFormat="1" ht="130.5" customHeight="1">
      <c r="A93" s="1874"/>
      <c r="B93" s="1875"/>
      <c r="C93" s="1868" t="s">
        <v>1261</v>
      </c>
      <c r="D93" s="1869"/>
      <c r="E93" s="1869"/>
      <c r="F93" s="1869"/>
      <c r="G93" s="1869"/>
      <c r="H93" s="1869"/>
      <c r="I93" s="1869"/>
      <c r="J93" s="1869"/>
      <c r="K93" s="1869"/>
      <c r="L93" s="1869"/>
      <c r="M93" s="1869"/>
      <c r="N93" s="1869"/>
      <c r="O93" s="1869"/>
      <c r="P93" s="1869"/>
      <c r="Q93" s="1869"/>
      <c r="R93" s="1869"/>
      <c r="S93" s="1869"/>
      <c r="T93" s="1869"/>
      <c r="U93" s="1869"/>
      <c r="V93" s="1870"/>
    </row>
    <row r="94" spans="1:22" s="1126" customFormat="1" ht="203.25" customHeight="1">
      <c r="A94" s="1874"/>
      <c r="B94" s="1875"/>
      <c r="C94" s="1871" t="s">
        <v>1262</v>
      </c>
      <c r="D94" s="1872"/>
      <c r="E94" s="1872"/>
      <c r="F94" s="1872"/>
      <c r="G94" s="1872"/>
      <c r="H94" s="1872"/>
      <c r="I94" s="1872"/>
      <c r="J94" s="1872"/>
      <c r="K94" s="1872"/>
      <c r="L94" s="1872"/>
      <c r="M94" s="1872"/>
      <c r="N94" s="1872"/>
      <c r="O94" s="1872"/>
      <c r="P94" s="1872"/>
      <c r="Q94" s="1872"/>
      <c r="R94" s="1872"/>
      <c r="S94" s="1872"/>
      <c r="T94" s="1872"/>
      <c r="U94" s="1872"/>
      <c r="V94" s="1873"/>
    </row>
    <row r="95" spans="1:22" s="1126" customFormat="1" ht="62.25" customHeight="1">
      <c r="A95" s="1874"/>
      <c r="B95" s="1875"/>
      <c r="C95" s="1878" t="s">
        <v>1263</v>
      </c>
      <c r="D95" s="1879"/>
      <c r="E95" s="1879"/>
      <c r="F95" s="1879"/>
      <c r="G95" s="1879"/>
      <c r="H95" s="1879"/>
      <c r="I95" s="1879"/>
      <c r="J95" s="1879"/>
      <c r="K95" s="1879"/>
      <c r="L95" s="1879"/>
      <c r="M95" s="1879"/>
      <c r="N95" s="1879"/>
      <c r="O95" s="1879"/>
      <c r="P95" s="1879"/>
      <c r="Q95" s="1879"/>
      <c r="R95" s="1879"/>
      <c r="S95" s="1879"/>
      <c r="T95" s="1879"/>
      <c r="U95" s="1879"/>
      <c r="V95" s="1880"/>
    </row>
    <row r="96" spans="1:22" s="1126" customFormat="1" ht="50.25" customHeight="1">
      <c r="A96" s="1874"/>
      <c r="B96" s="1875"/>
      <c r="C96" s="1868" t="s">
        <v>1264</v>
      </c>
      <c r="D96" s="1869"/>
      <c r="E96" s="1869"/>
      <c r="F96" s="1869"/>
      <c r="G96" s="1869"/>
      <c r="H96" s="1869"/>
      <c r="I96" s="1869"/>
      <c r="J96" s="1869"/>
      <c r="K96" s="1869"/>
      <c r="L96" s="1869"/>
      <c r="M96" s="1869"/>
      <c r="N96" s="1869"/>
      <c r="O96" s="1869"/>
      <c r="P96" s="1869"/>
      <c r="Q96" s="1869"/>
      <c r="R96" s="1869"/>
      <c r="S96" s="1869"/>
      <c r="T96" s="1869"/>
      <c r="U96" s="1869"/>
      <c r="V96" s="1870"/>
    </row>
    <row r="97" spans="1:22" s="1065" customFormat="1" ht="50.25" customHeight="1" thickBot="1">
      <c r="A97" s="1876"/>
      <c r="B97" s="1877"/>
      <c r="C97" s="1881" t="s">
        <v>1265</v>
      </c>
      <c r="D97" s="1882"/>
      <c r="E97" s="1882"/>
      <c r="F97" s="1882"/>
      <c r="G97" s="1882"/>
      <c r="H97" s="1882"/>
      <c r="I97" s="1882"/>
      <c r="J97" s="1882"/>
      <c r="K97" s="1882"/>
      <c r="L97" s="1882"/>
      <c r="M97" s="1882"/>
      <c r="N97" s="1882"/>
      <c r="O97" s="1882"/>
      <c r="P97" s="1882"/>
      <c r="Q97" s="1882"/>
      <c r="R97" s="1882"/>
      <c r="S97" s="1882"/>
      <c r="T97" s="1882"/>
      <c r="U97" s="1882"/>
      <c r="V97" s="1883"/>
    </row>
    <row r="98" spans="1:22" s="1065" customFormat="1" ht="36" customHeight="1">
      <c r="A98" s="1859"/>
      <c r="B98" s="1860"/>
      <c r="C98" s="1127"/>
      <c r="D98" s="1859"/>
      <c r="E98" s="1860"/>
      <c r="F98" s="1860"/>
      <c r="G98" s="1860"/>
      <c r="H98" s="1860"/>
      <c r="I98" s="1860"/>
      <c r="J98" s="1860"/>
      <c r="K98" s="1860"/>
      <c r="L98" s="1860"/>
      <c r="M98" s="1860"/>
      <c r="N98" s="1860"/>
      <c r="O98" s="1860"/>
      <c r="P98" s="1860"/>
      <c r="Q98" s="1860"/>
      <c r="R98" s="1860"/>
      <c r="S98" s="1860"/>
      <c r="T98" s="1860"/>
      <c r="U98" s="1860"/>
      <c r="V98" s="1067"/>
    </row>
    <row r="99" spans="1:22" s="1128" customFormat="1" ht="38.1" customHeight="1">
      <c r="A99" s="1861" t="s">
        <v>217</v>
      </c>
      <c r="B99" s="1862"/>
      <c r="C99" s="1862"/>
      <c r="D99" s="1862"/>
      <c r="E99" s="1862"/>
      <c r="F99" s="1863"/>
      <c r="G99" s="1863"/>
      <c r="H99" s="1863"/>
      <c r="I99" s="1863"/>
      <c r="J99" s="1863"/>
      <c r="K99" s="1863"/>
      <c r="L99" s="1863"/>
      <c r="M99" s="1863"/>
      <c r="N99" s="1863"/>
      <c r="O99" s="1863"/>
      <c r="P99" s="1863"/>
      <c r="Q99" s="1863"/>
      <c r="R99" s="1863"/>
      <c r="S99" s="1863"/>
      <c r="T99" s="1863"/>
      <c r="U99" s="1863"/>
      <c r="V99" s="1863"/>
    </row>
    <row r="100" spans="1:22" s="1128" customFormat="1" ht="33" customHeight="1">
      <c r="A100" s="1857" t="s">
        <v>218</v>
      </c>
      <c r="B100" s="1857"/>
      <c r="C100" s="1857"/>
      <c r="D100" s="1857"/>
      <c r="E100" s="1857"/>
      <c r="F100" s="1858"/>
      <c r="G100" s="1858"/>
      <c r="H100" s="1858"/>
      <c r="I100" s="1858"/>
      <c r="J100" s="1858"/>
      <c r="K100" s="1858"/>
      <c r="L100" s="1858"/>
      <c r="M100" s="1858"/>
      <c r="N100" s="1858"/>
      <c r="O100" s="1858"/>
      <c r="P100" s="1858"/>
      <c r="Q100" s="1858"/>
      <c r="R100" s="1858"/>
      <c r="S100" s="1858"/>
      <c r="T100" s="1858"/>
      <c r="U100" s="1858"/>
      <c r="V100" s="1858"/>
    </row>
    <row r="101" spans="1:22" s="1128" customFormat="1" ht="30" customHeight="1">
      <c r="A101" s="1857" t="s">
        <v>219</v>
      </c>
      <c r="B101" s="1864"/>
      <c r="C101" s="1864"/>
      <c r="D101" s="1864"/>
      <c r="E101" s="1864"/>
      <c r="F101" s="1858"/>
      <c r="G101" s="1858"/>
      <c r="H101" s="1858"/>
      <c r="I101" s="1858"/>
      <c r="J101" s="1858"/>
      <c r="K101" s="1858"/>
      <c r="L101" s="1858"/>
      <c r="M101" s="1858"/>
      <c r="N101" s="1858"/>
      <c r="O101" s="1858"/>
      <c r="P101" s="1858"/>
      <c r="Q101" s="1858"/>
      <c r="R101" s="1858"/>
      <c r="S101" s="1858"/>
      <c r="T101" s="1858"/>
      <c r="U101" s="1858"/>
      <c r="V101" s="1858"/>
    </row>
    <row r="102" spans="1:22" s="1128" customFormat="1" ht="32.25" customHeight="1">
      <c r="A102" s="1857" t="s">
        <v>220</v>
      </c>
      <c r="B102" s="1857"/>
      <c r="C102" s="1857"/>
      <c r="D102" s="1857"/>
      <c r="E102" s="1857"/>
      <c r="F102" s="1858"/>
      <c r="G102" s="1858"/>
      <c r="H102" s="1858"/>
      <c r="I102" s="1858"/>
      <c r="J102" s="1858"/>
      <c r="K102" s="1858"/>
      <c r="L102" s="1858"/>
      <c r="M102" s="1858"/>
      <c r="N102" s="1858"/>
      <c r="O102" s="1858"/>
      <c r="P102" s="1858"/>
      <c r="Q102" s="1858"/>
      <c r="R102" s="1858"/>
      <c r="S102" s="1858"/>
      <c r="T102" s="1858"/>
      <c r="U102" s="1858"/>
      <c r="V102" s="1858"/>
    </row>
    <row r="103" spans="1:22" s="1128" customFormat="1" ht="30.75" customHeight="1">
      <c r="A103" s="1857" t="s">
        <v>975</v>
      </c>
      <c r="B103" s="1856"/>
      <c r="C103" s="1856"/>
      <c r="D103" s="1856"/>
      <c r="E103" s="1856"/>
      <c r="F103" s="1856"/>
      <c r="G103" s="1856"/>
      <c r="H103" s="1856"/>
      <c r="I103" s="1856"/>
      <c r="J103" s="1856"/>
      <c r="K103" s="1856"/>
      <c r="L103" s="1856"/>
      <c r="M103" s="1856"/>
      <c r="N103" s="1856"/>
      <c r="O103" s="1856"/>
      <c r="P103" s="1856"/>
      <c r="Q103" s="1856"/>
      <c r="R103" s="1856"/>
      <c r="S103" s="1856"/>
      <c r="T103" s="1856"/>
      <c r="U103" s="1856"/>
      <c r="V103" s="1856"/>
    </row>
    <row r="104" spans="1:22" s="1128" customFormat="1" ht="30.75" customHeight="1">
      <c r="A104" s="1857" t="s">
        <v>976</v>
      </c>
      <c r="B104" s="1856"/>
      <c r="C104" s="1856"/>
      <c r="D104" s="1856"/>
      <c r="E104" s="1856"/>
      <c r="F104" s="1856"/>
      <c r="G104" s="1856"/>
      <c r="H104" s="1856"/>
      <c r="I104" s="1856"/>
      <c r="J104" s="1856"/>
      <c r="K104" s="1856"/>
      <c r="L104" s="1856"/>
      <c r="M104" s="1856"/>
      <c r="N104" s="1856"/>
      <c r="O104" s="1856"/>
      <c r="P104" s="1856"/>
      <c r="Q104" s="1856"/>
      <c r="R104" s="1856"/>
      <c r="S104" s="1856"/>
      <c r="T104" s="1856"/>
      <c r="U104" s="1856"/>
      <c r="V104" s="1856"/>
    </row>
    <row r="105" spans="1:22" s="1128" customFormat="1" ht="29.25" customHeight="1">
      <c r="A105" s="1857" t="s">
        <v>977</v>
      </c>
      <c r="B105" s="1856"/>
      <c r="C105" s="1856"/>
      <c r="D105" s="1856"/>
      <c r="E105" s="1856"/>
      <c r="F105" s="1856"/>
      <c r="G105" s="1856"/>
      <c r="H105" s="1856"/>
      <c r="I105" s="1856"/>
      <c r="J105" s="1856"/>
      <c r="K105" s="1856"/>
      <c r="L105" s="1856"/>
      <c r="M105" s="1856"/>
      <c r="N105" s="1856"/>
      <c r="O105" s="1856"/>
      <c r="P105" s="1856"/>
      <c r="Q105" s="1856"/>
      <c r="R105" s="1856"/>
      <c r="S105" s="1856"/>
      <c r="T105" s="1856"/>
      <c r="U105" s="1856"/>
      <c r="V105" s="1856"/>
    </row>
    <row r="106" spans="1:22" s="1128" customFormat="1" ht="48" customHeight="1">
      <c r="A106" s="1857" t="s">
        <v>978</v>
      </c>
      <c r="B106" s="1857"/>
      <c r="C106" s="1857"/>
      <c r="D106" s="1857"/>
      <c r="E106" s="1857"/>
      <c r="F106" s="1858"/>
      <c r="G106" s="1858"/>
      <c r="H106" s="1858"/>
      <c r="I106" s="1858"/>
      <c r="J106" s="1858"/>
      <c r="K106" s="1858"/>
      <c r="L106" s="1858"/>
      <c r="M106" s="1858"/>
      <c r="N106" s="1858"/>
      <c r="O106" s="1858"/>
      <c r="P106" s="1858"/>
      <c r="Q106" s="1858"/>
      <c r="R106" s="1858"/>
      <c r="S106" s="1858"/>
      <c r="T106" s="1858"/>
      <c r="U106" s="1858"/>
      <c r="V106" s="1858"/>
    </row>
    <row r="107" spans="1:22" ht="28.5" customHeight="1">
      <c r="A107" s="1856" t="s">
        <v>979</v>
      </c>
      <c r="B107" s="1856"/>
      <c r="C107" s="1856"/>
      <c r="D107" s="1856"/>
      <c r="E107" s="1856"/>
      <c r="F107" s="1856"/>
      <c r="G107" s="1856"/>
      <c r="H107" s="1856"/>
      <c r="I107" s="1856"/>
      <c r="J107" s="1856"/>
      <c r="K107" s="1856"/>
      <c r="L107" s="1856"/>
      <c r="M107" s="1856"/>
      <c r="N107" s="1856"/>
      <c r="O107" s="1856"/>
      <c r="P107" s="1856"/>
      <c r="Q107" s="1856"/>
      <c r="R107" s="1856"/>
      <c r="S107" s="1856"/>
      <c r="T107" s="1856"/>
      <c r="U107" s="1856"/>
      <c r="V107" s="1856"/>
    </row>
    <row r="108" spans="1:22" ht="28.5" customHeight="1">
      <c r="A108" s="1856" t="s">
        <v>980</v>
      </c>
      <c r="B108" s="1856"/>
      <c r="C108" s="1856"/>
      <c r="D108" s="1856"/>
      <c r="E108" s="1856"/>
      <c r="F108" s="1856"/>
      <c r="G108" s="1856"/>
      <c r="H108" s="1856"/>
      <c r="I108" s="1856"/>
      <c r="J108" s="1856"/>
      <c r="K108" s="1856"/>
      <c r="L108" s="1856"/>
      <c r="M108" s="1856"/>
      <c r="N108" s="1856"/>
      <c r="O108" s="1856"/>
      <c r="P108" s="1856"/>
      <c r="Q108" s="1856"/>
      <c r="R108" s="1856"/>
      <c r="S108" s="1856"/>
      <c r="T108" s="1856"/>
      <c r="U108" s="1856"/>
      <c r="V108" s="1856"/>
    </row>
    <row r="109" spans="1:22" ht="28.5" customHeight="1">
      <c r="A109" s="1856" t="s">
        <v>981</v>
      </c>
      <c r="B109" s="1856"/>
      <c r="C109" s="1856"/>
      <c r="D109" s="1856"/>
      <c r="E109" s="1856"/>
      <c r="F109" s="1856"/>
      <c r="G109" s="1856"/>
      <c r="H109" s="1856"/>
      <c r="I109" s="1856"/>
      <c r="J109" s="1856"/>
      <c r="K109" s="1856"/>
      <c r="L109" s="1856"/>
      <c r="M109" s="1856"/>
      <c r="N109" s="1856"/>
      <c r="O109" s="1856"/>
      <c r="P109" s="1856"/>
      <c r="Q109" s="1856"/>
      <c r="R109" s="1856"/>
      <c r="S109" s="1856"/>
      <c r="T109" s="1856"/>
      <c r="U109" s="1856"/>
      <c r="V109" s="1856"/>
    </row>
  </sheetData>
  <mergeCells count="116">
    <mergeCell ref="A1:V1"/>
    <mergeCell ref="C3:V3"/>
    <mergeCell ref="C4:V4"/>
    <mergeCell ref="C5:V5"/>
    <mergeCell ref="C6:V6"/>
    <mergeCell ref="C7:V7"/>
    <mergeCell ref="A14:A16"/>
    <mergeCell ref="B14:B16"/>
    <mergeCell ref="C14:C16"/>
    <mergeCell ref="D14:D16"/>
    <mergeCell ref="E14:F15"/>
    <mergeCell ref="G14:H15"/>
    <mergeCell ref="C8:V8"/>
    <mergeCell ref="C9:V9"/>
    <mergeCell ref="C10:V10"/>
    <mergeCell ref="C11:V11"/>
    <mergeCell ref="C12:V12"/>
    <mergeCell ref="D13:V13"/>
    <mergeCell ref="I14:J15"/>
    <mergeCell ref="K14:P14"/>
    <mergeCell ref="Q14:V14"/>
    <mergeCell ref="K15:L15"/>
    <mergeCell ref="M15:N15"/>
    <mergeCell ref="O15:P15"/>
    <mergeCell ref="Q15:R15"/>
    <mergeCell ref="S15:T15"/>
    <mergeCell ref="U15:V15"/>
    <mergeCell ref="A30:A31"/>
    <mergeCell ref="B30:B31"/>
    <mergeCell ref="A32:A33"/>
    <mergeCell ref="B32:B33"/>
    <mergeCell ref="A34:A35"/>
    <mergeCell ref="B34:B35"/>
    <mergeCell ref="D18:V18"/>
    <mergeCell ref="A24:A25"/>
    <mergeCell ref="B24:B25"/>
    <mergeCell ref="A26:A27"/>
    <mergeCell ref="B26:B27"/>
    <mergeCell ref="A28:A29"/>
    <mergeCell ref="B28:B29"/>
    <mergeCell ref="A42:A43"/>
    <mergeCell ref="B42:B43"/>
    <mergeCell ref="A44:A45"/>
    <mergeCell ref="B44:B45"/>
    <mergeCell ref="A46:A47"/>
    <mergeCell ref="B46:B47"/>
    <mergeCell ref="A36:A37"/>
    <mergeCell ref="B36:B37"/>
    <mergeCell ref="A38:A39"/>
    <mergeCell ref="B38:B39"/>
    <mergeCell ref="A40:A41"/>
    <mergeCell ref="B40:B41"/>
    <mergeCell ref="A54:A55"/>
    <mergeCell ref="B54:B55"/>
    <mergeCell ref="A56:A57"/>
    <mergeCell ref="B56:B57"/>
    <mergeCell ref="A58:A59"/>
    <mergeCell ref="B58:B59"/>
    <mergeCell ref="A48:A49"/>
    <mergeCell ref="B48:B49"/>
    <mergeCell ref="A50:A51"/>
    <mergeCell ref="B50:B51"/>
    <mergeCell ref="A52:A53"/>
    <mergeCell ref="B52:B53"/>
    <mergeCell ref="A66:A67"/>
    <mergeCell ref="B66:B67"/>
    <mergeCell ref="A68:A69"/>
    <mergeCell ref="B68:B69"/>
    <mergeCell ref="A70:A71"/>
    <mergeCell ref="B70:B71"/>
    <mergeCell ref="A60:A61"/>
    <mergeCell ref="B60:B61"/>
    <mergeCell ref="A62:A63"/>
    <mergeCell ref="B62:B63"/>
    <mergeCell ref="A64:A65"/>
    <mergeCell ref="B64:B65"/>
    <mergeCell ref="A72:A73"/>
    <mergeCell ref="B72:B73"/>
    <mergeCell ref="A76:B85"/>
    <mergeCell ref="C76:V76"/>
    <mergeCell ref="C77:V77"/>
    <mergeCell ref="C78:V78"/>
    <mergeCell ref="C79:V79"/>
    <mergeCell ref="C80:V80"/>
    <mergeCell ref="C81:V81"/>
    <mergeCell ref="C82:V82"/>
    <mergeCell ref="C92:V92"/>
    <mergeCell ref="C93:V93"/>
    <mergeCell ref="C94:V94"/>
    <mergeCell ref="A95:B97"/>
    <mergeCell ref="C95:V95"/>
    <mergeCell ref="C96:V96"/>
    <mergeCell ref="C97:V97"/>
    <mergeCell ref="C83:V83"/>
    <mergeCell ref="C84:V84"/>
    <mergeCell ref="C85:V85"/>
    <mergeCell ref="A86:B94"/>
    <mergeCell ref="C86:V86"/>
    <mergeCell ref="C87:V87"/>
    <mergeCell ref="C88:V88"/>
    <mergeCell ref="C89:V89"/>
    <mergeCell ref="C90:V90"/>
    <mergeCell ref="C91:V91"/>
    <mergeCell ref="A109:V109"/>
    <mergeCell ref="A103:V103"/>
    <mergeCell ref="A104:V104"/>
    <mergeCell ref="A105:V105"/>
    <mergeCell ref="A106:V106"/>
    <mergeCell ref="A107:V107"/>
    <mergeCell ref="A108:V108"/>
    <mergeCell ref="A98:B98"/>
    <mergeCell ref="D98:U98"/>
    <mergeCell ref="A99:V99"/>
    <mergeCell ref="A100:V100"/>
    <mergeCell ref="A101:V101"/>
    <mergeCell ref="A102:V102"/>
  </mergeCells>
  <pageMargins left="0.39370078740157483" right="0.39370078740157483" top="0.78740157480314965" bottom="0.19685039370078741" header="0.59055118110236227" footer="0"/>
  <pageSetup paperSize="9" scale="66" firstPageNumber="444" fitToHeight="0" orientation="landscape" useFirstPageNumber="1" r:id="rId1"/>
  <headerFooter scaleWithDoc="0" alignWithMargins="0">
    <oddHeader>&amp;C&amp;P</oddHeader>
  </headerFooter>
  <rowBreaks count="5" manualBreakCount="5">
    <brk id="33" max="21" man="1"/>
    <brk id="45" max="21" man="1"/>
    <brk id="57" max="21" man="1"/>
    <brk id="85" max="21" man="1"/>
    <brk id="94" max="21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Лист17"/>
  <dimension ref="A1:Z105"/>
  <sheetViews>
    <sheetView topLeftCell="A28" zoomScale="85" zoomScaleNormal="85" workbookViewId="0">
      <selection activeCell="E43" sqref="E43"/>
    </sheetView>
  </sheetViews>
  <sheetFormatPr defaultColWidth="5.37890625" defaultRowHeight="15"/>
  <cols>
    <col min="1" max="1" width="4.9765625" style="867" customWidth="1"/>
    <col min="2" max="2" width="17.21875" style="867" customWidth="1"/>
    <col min="3" max="3" width="10.0859375" style="867" customWidth="1"/>
    <col min="4" max="4" width="9.68359375" style="867" customWidth="1"/>
    <col min="5" max="22" width="9.28125" style="867" customWidth="1"/>
    <col min="23" max="256" width="5.37890625" style="867"/>
    <col min="257" max="257" width="4.9765625" style="867" customWidth="1"/>
    <col min="258" max="258" width="17.21875" style="867" customWidth="1"/>
    <col min="259" max="259" width="10.0859375" style="867" customWidth="1"/>
    <col min="260" max="260" width="9.68359375" style="867" customWidth="1"/>
    <col min="261" max="278" width="9.28125" style="867" customWidth="1"/>
    <col min="279" max="512" width="5.37890625" style="867"/>
    <col min="513" max="513" width="4.9765625" style="867" customWidth="1"/>
    <col min="514" max="514" width="17.21875" style="867" customWidth="1"/>
    <col min="515" max="515" width="10.0859375" style="867" customWidth="1"/>
    <col min="516" max="516" width="9.68359375" style="867" customWidth="1"/>
    <col min="517" max="534" width="9.28125" style="867" customWidth="1"/>
    <col min="535" max="768" width="5.37890625" style="867"/>
    <col min="769" max="769" width="4.9765625" style="867" customWidth="1"/>
    <col min="770" max="770" width="17.21875" style="867" customWidth="1"/>
    <col min="771" max="771" width="10.0859375" style="867" customWidth="1"/>
    <col min="772" max="772" width="9.68359375" style="867" customWidth="1"/>
    <col min="773" max="790" width="9.28125" style="867" customWidth="1"/>
    <col min="791" max="1024" width="5.37890625" style="867"/>
    <col min="1025" max="1025" width="4.9765625" style="867" customWidth="1"/>
    <col min="1026" max="1026" width="17.21875" style="867" customWidth="1"/>
    <col min="1027" max="1027" width="10.0859375" style="867" customWidth="1"/>
    <col min="1028" max="1028" width="9.68359375" style="867" customWidth="1"/>
    <col min="1029" max="1046" width="9.28125" style="867" customWidth="1"/>
    <col min="1047" max="1280" width="5.37890625" style="867"/>
    <col min="1281" max="1281" width="4.9765625" style="867" customWidth="1"/>
    <col min="1282" max="1282" width="17.21875" style="867" customWidth="1"/>
    <col min="1283" max="1283" width="10.0859375" style="867" customWidth="1"/>
    <col min="1284" max="1284" width="9.68359375" style="867" customWidth="1"/>
    <col min="1285" max="1302" width="9.28125" style="867" customWidth="1"/>
    <col min="1303" max="1536" width="5.37890625" style="867"/>
    <col min="1537" max="1537" width="4.9765625" style="867" customWidth="1"/>
    <col min="1538" max="1538" width="17.21875" style="867" customWidth="1"/>
    <col min="1539" max="1539" width="10.0859375" style="867" customWidth="1"/>
    <col min="1540" max="1540" width="9.68359375" style="867" customWidth="1"/>
    <col min="1541" max="1558" width="9.28125" style="867" customWidth="1"/>
    <col min="1559" max="1792" width="5.37890625" style="867"/>
    <col min="1793" max="1793" width="4.9765625" style="867" customWidth="1"/>
    <col min="1794" max="1794" width="17.21875" style="867" customWidth="1"/>
    <col min="1795" max="1795" width="10.0859375" style="867" customWidth="1"/>
    <col min="1796" max="1796" width="9.68359375" style="867" customWidth="1"/>
    <col min="1797" max="1814" width="9.28125" style="867" customWidth="1"/>
    <col min="1815" max="2048" width="5.37890625" style="867"/>
    <col min="2049" max="2049" width="4.9765625" style="867" customWidth="1"/>
    <col min="2050" max="2050" width="17.21875" style="867" customWidth="1"/>
    <col min="2051" max="2051" width="10.0859375" style="867" customWidth="1"/>
    <col min="2052" max="2052" width="9.68359375" style="867" customWidth="1"/>
    <col min="2053" max="2070" width="9.28125" style="867" customWidth="1"/>
    <col min="2071" max="2304" width="5.37890625" style="867"/>
    <col min="2305" max="2305" width="4.9765625" style="867" customWidth="1"/>
    <col min="2306" max="2306" width="17.21875" style="867" customWidth="1"/>
    <col min="2307" max="2307" width="10.0859375" style="867" customWidth="1"/>
    <col min="2308" max="2308" width="9.68359375" style="867" customWidth="1"/>
    <col min="2309" max="2326" width="9.28125" style="867" customWidth="1"/>
    <col min="2327" max="2560" width="5.37890625" style="867"/>
    <col min="2561" max="2561" width="4.9765625" style="867" customWidth="1"/>
    <col min="2562" max="2562" width="17.21875" style="867" customWidth="1"/>
    <col min="2563" max="2563" width="10.0859375" style="867" customWidth="1"/>
    <col min="2564" max="2564" width="9.68359375" style="867" customWidth="1"/>
    <col min="2565" max="2582" width="9.28125" style="867" customWidth="1"/>
    <col min="2583" max="2816" width="5.37890625" style="867"/>
    <col min="2817" max="2817" width="4.9765625" style="867" customWidth="1"/>
    <col min="2818" max="2818" width="17.21875" style="867" customWidth="1"/>
    <col min="2819" max="2819" width="10.0859375" style="867" customWidth="1"/>
    <col min="2820" max="2820" width="9.68359375" style="867" customWidth="1"/>
    <col min="2821" max="2838" width="9.28125" style="867" customWidth="1"/>
    <col min="2839" max="3072" width="5.37890625" style="867"/>
    <col min="3073" max="3073" width="4.9765625" style="867" customWidth="1"/>
    <col min="3074" max="3074" width="17.21875" style="867" customWidth="1"/>
    <col min="3075" max="3075" width="10.0859375" style="867" customWidth="1"/>
    <col min="3076" max="3076" width="9.68359375" style="867" customWidth="1"/>
    <col min="3077" max="3094" width="9.28125" style="867" customWidth="1"/>
    <col min="3095" max="3328" width="5.37890625" style="867"/>
    <col min="3329" max="3329" width="4.9765625" style="867" customWidth="1"/>
    <col min="3330" max="3330" width="17.21875" style="867" customWidth="1"/>
    <col min="3331" max="3331" width="10.0859375" style="867" customWidth="1"/>
    <col min="3332" max="3332" width="9.68359375" style="867" customWidth="1"/>
    <col min="3333" max="3350" width="9.28125" style="867" customWidth="1"/>
    <col min="3351" max="3584" width="5.37890625" style="867"/>
    <col min="3585" max="3585" width="4.9765625" style="867" customWidth="1"/>
    <col min="3586" max="3586" width="17.21875" style="867" customWidth="1"/>
    <col min="3587" max="3587" width="10.0859375" style="867" customWidth="1"/>
    <col min="3588" max="3588" width="9.68359375" style="867" customWidth="1"/>
    <col min="3589" max="3606" width="9.28125" style="867" customWidth="1"/>
    <col min="3607" max="3840" width="5.37890625" style="867"/>
    <col min="3841" max="3841" width="4.9765625" style="867" customWidth="1"/>
    <col min="3842" max="3842" width="17.21875" style="867" customWidth="1"/>
    <col min="3843" max="3843" width="10.0859375" style="867" customWidth="1"/>
    <col min="3844" max="3844" width="9.68359375" style="867" customWidth="1"/>
    <col min="3845" max="3862" width="9.28125" style="867" customWidth="1"/>
    <col min="3863" max="4096" width="5.37890625" style="867"/>
    <col min="4097" max="4097" width="4.9765625" style="867" customWidth="1"/>
    <col min="4098" max="4098" width="17.21875" style="867" customWidth="1"/>
    <col min="4099" max="4099" width="10.0859375" style="867" customWidth="1"/>
    <col min="4100" max="4100" width="9.68359375" style="867" customWidth="1"/>
    <col min="4101" max="4118" width="9.28125" style="867" customWidth="1"/>
    <col min="4119" max="4352" width="5.37890625" style="867"/>
    <col min="4353" max="4353" width="4.9765625" style="867" customWidth="1"/>
    <col min="4354" max="4354" width="17.21875" style="867" customWidth="1"/>
    <col min="4355" max="4355" width="10.0859375" style="867" customWidth="1"/>
    <col min="4356" max="4356" width="9.68359375" style="867" customWidth="1"/>
    <col min="4357" max="4374" width="9.28125" style="867" customWidth="1"/>
    <col min="4375" max="4608" width="5.37890625" style="867"/>
    <col min="4609" max="4609" width="4.9765625" style="867" customWidth="1"/>
    <col min="4610" max="4610" width="17.21875" style="867" customWidth="1"/>
    <col min="4611" max="4611" width="10.0859375" style="867" customWidth="1"/>
    <col min="4612" max="4612" width="9.68359375" style="867" customWidth="1"/>
    <col min="4613" max="4630" width="9.28125" style="867" customWidth="1"/>
    <col min="4631" max="4864" width="5.37890625" style="867"/>
    <col min="4865" max="4865" width="4.9765625" style="867" customWidth="1"/>
    <col min="4866" max="4866" width="17.21875" style="867" customWidth="1"/>
    <col min="4867" max="4867" width="10.0859375" style="867" customWidth="1"/>
    <col min="4868" max="4868" width="9.68359375" style="867" customWidth="1"/>
    <col min="4869" max="4886" width="9.28125" style="867" customWidth="1"/>
    <col min="4887" max="5120" width="5.37890625" style="867"/>
    <col min="5121" max="5121" width="4.9765625" style="867" customWidth="1"/>
    <col min="5122" max="5122" width="17.21875" style="867" customWidth="1"/>
    <col min="5123" max="5123" width="10.0859375" style="867" customWidth="1"/>
    <col min="5124" max="5124" width="9.68359375" style="867" customWidth="1"/>
    <col min="5125" max="5142" width="9.28125" style="867" customWidth="1"/>
    <col min="5143" max="5376" width="5.37890625" style="867"/>
    <col min="5377" max="5377" width="4.9765625" style="867" customWidth="1"/>
    <col min="5378" max="5378" width="17.21875" style="867" customWidth="1"/>
    <col min="5379" max="5379" width="10.0859375" style="867" customWidth="1"/>
    <col min="5380" max="5380" width="9.68359375" style="867" customWidth="1"/>
    <col min="5381" max="5398" width="9.28125" style="867" customWidth="1"/>
    <col min="5399" max="5632" width="5.37890625" style="867"/>
    <col min="5633" max="5633" width="4.9765625" style="867" customWidth="1"/>
    <col min="5634" max="5634" width="17.21875" style="867" customWidth="1"/>
    <col min="5635" max="5635" width="10.0859375" style="867" customWidth="1"/>
    <col min="5636" max="5636" width="9.68359375" style="867" customWidth="1"/>
    <col min="5637" max="5654" width="9.28125" style="867" customWidth="1"/>
    <col min="5655" max="5888" width="5.37890625" style="867"/>
    <col min="5889" max="5889" width="4.9765625" style="867" customWidth="1"/>
    <col min="5890" max="5890" width="17.21875" style="867" customWidth="1"/>
    <col min="5891" max="5891" width="10.0859375" style="867" customWidth="1"/>
    <col min="5892" max="5892" width="9.68359375" style="867" customWidth="1"/>
    <col min="5893" max="5910" width="9.28125" style="867" customWidth="1"/>
    <col min="5911" max="6144" width="5.37890625" style="867"/>
    <col min="6145" max="6145" width="4.9765625" style="867" customWidth="1"/>
    <col min="6146" max="6146" width="17.21875" style="867" customWidth="1"/>
    <col min="6147" max="6147" width="10.0859375" style="867" customWidth="1"/>
    <col min="6148" max="6148" width="9.68359375" style="867" customWidth="1"/>
    <col min="6149" max="6166" width="9.28125" style="867" customWidth="1"/>
    <col min="6167" max="6400" width="5.37890625" style="867"/>
    <col min="6401" max="6401" width="4.9765625" style="867" customWidth="1"/>
    <col min="6402" max="6402" width="17.21875" style="867" customWidth="1"/>
    <col min="6403" max="6403" width="10.0859375" style="867" customWidth="1"/>
    <col min="6404" max="6404" width="9.68359375" style="867" customWidth="1"/>
    <col min="6405" max="6422" width="9.28125" style="867" customWidth="1"/>
    <col min="6423" max="6656" width="5.37890625" style="867"/>
    <col min="6657" max="6657" width="4.9765625" style="867" customWidth="1"/>
    <col min="6658" max="6658" width="17.21875" style="867" customWidth="1"/>
    <col min="6659" max="6659" width="10.0859375" style="867" customWidth="1"/>
    <col min="6660" max="6660" width="9.68359375" style="867" customWidth="1"/>
    <col min="6661" max="6678" width="9.28125" style="867" customWidth="1"/>
    <col min="6679" max="6912" width="5.37890625" style="867"/>
    <col min="6913" max="6913" width="4.9765625" style="867" customWidth="1"/>
    <col min="6914" max="6914" width="17.21875" style="867" customWidth="1"/>
    <col min="6915" max="6915" width="10.0859375" style="867" customWidth="1"/>
    <col min="6916" max="6916" width="9.68359375" style="867" customWidth="1"/>
    <col min="6917" max="6934" width="9.28125" style="867" customWidth="1"/>
    <col min="6935" max="7168" width="5.37890625" style="867"/>
    <col min="7169" max="7169" width="4.9765625" style="867" customWidth="1"/>
    <col min="7170" max="7170" width="17.21875" style="867" customWidth="1"/>
    <col min="7171" max="7171" width="10.0859375" style="867" customWidth="1"/>
    <col min="7172" max="7172" width="9.68359375" style="867" customWidth="1"/>
    <col min="7173" max="7190" width="9.28125" style="867" customWidth="1"/>
    <col min="7191" max="7424" width="5.37890625" style="867"/>
    <col min="7425" max="7425" width="4.9765625" style="867" customWidth="1"/>
    <col min="7426" max="7426" width="17.21875" style="867" customWidth="1"/>
    <col min="7427" max="7427" width="10.0859375" style="867" customWidth="1"/>
    <col min="7428" max="7428" width="9.68359375" style="867" customWidth="1"/>
    <col min="7429" max="7446" width="9.28125" style="867" customWidth="1"/>
    <col min="7447" max="7680" width="5.37890625" style="867"/>
    <col min="7681" max="7681" width="4.9765625" style="867" customWidth="1"/>
    <col min="7682" max="7682" width="17.21875" style="867" customWidth="1"/>
    <col min="7683" max="7683" width="10.0859375" style="867" customWidth="1"/>
    <col min="7684" max="7684" width="9.68359375" style="867" customWidth="1"/>
    <col min="7685" max="7702" width="9.28125" style="867" customWidth="1"/>
    <col min="7703" max="7936" width="5.37890625" style="867"/>
    <col min="7937" max="7937" width="4.9765625" style="867" customWidth="1"/>
    <col min="7938" max="7938" width="17.21875" style="867" customWidth="1"/>
    <col min="7939" max="7939" width="10.0859375" style="867" customWidth="1"/>
    <col min="7940" max="7940" width="9.68359375" style="867" customWidth="1"/>
    <col min="7941" max="7958" width="9.28125" style="867" customWidth="1"/>
    <col min="7959" max="8192" width="5.37890625" style="867"/>
    <col min="8193" max="8193" width="4.9765625" style="867" customWidth="1"/>
    <col min="8194" max="8194" width="17.21875" style="867" customWidth="1"/>
    <col min="8195" max="8195" width="10.0859375" style="867" customWidth="1"/>
    <col min="8196" max="8196" width="9.68359375" style="867" customWidth="1"/>
    <col min="8197" max="8214" width="9.28125" style="867" customWidth="1"/>
    <col min="8215" max="8448" width="5.37890625" style="867"/>
    <col min="8449" max="8449" width="4.9765625" style="867" customWidth="1"/>
    <col min="8450" max="8450" width="17.21875" style="867" customWidth="1"/>
    <col min="8451" max="8451" width="10.0859375" style="867" customWidth="1"/>
    <col min="8452" max="8452" width="9.68359375" style="867" customWidth="1"/>
    <col min="8453" max="8470" width="9.28125" style="867" customWidth="1"/>
    <col min="8471" max="8704" width="5.37890625" style="867"/>
    <col min="8705" max="8705" width="4.9765625" style="867" customWidth="1"/>
    <col min="8706" max="8706" width="17.21875" style="867" customWidth="1"/>
    <col min="8707" max="8707" width="10.0859375" style="867" customWidth="1"/>
    <col min="8708" max="8708" width="9.68359375" style="867" customWidth="1"/>
    <col min="8709" max="8726" width="9.28125" style="867" customWidth="1"/>
    <col min="8727" max="8960" width="5.37890625" style="867"/>
    <col min="8961" max="8961" width="4.9765625" style="867" customWidth="1"/>
    <col min="8962" max="8962" width="17.21875" style="867" customWidth="1"/>
    <col min="8963" max="8963" width="10.0859375" style="867" customWidth="1"/>
    <col min="8964" max="8964" width="9.68359375" style="867" customWidth="1"/>
    <col min="8965" max="8982" width="9.28125" style="867" customWidth="1"/>
    <col min="8983" max="9216" width="5.37890625" style="867"/>
    <col min="9217" max="9217" width="4.9765625" style="867" customWidth="1"/>
    <col min="9218" max="9218" width="17.21875" style="867" customWidth="1"/>
    <col min="9219" max="9219" width="10.0859375" style="867" customWidth="1"/>
    <col min="9220" max="9220" width="9.68359375" style="867" customWidth="1"/>
    <col min="9221" max="9238" width="9.28125" style="867" customWidth="1"/>
    <col min="9239" max="9472" width="5.37890625" style="867"/>
    <col min="9473" max="9473" width="4.9765625" style="867" customWidth="1"/>
    <col min="9474" max="9474" width="17.21875" style="867" customWidth="1"/>
    <col min="9475" max="9475" width="10.0859375" style="867" customWidth="1"/>
    <col min="9476" max="9476" width="9.68359375" style="867" customWidth="1"/>
    <col min="9477" max="9494" width="9.28125" style="867" customWidth="1"/>
    <col min="9495" max="9728" width="5.37890625" style="867"/>
    <col min="9729" max="9729" width="4.9765625" style="867" customWidth="1"/>
    <col min="9730" max="9730" width="17.21875" style="867" customWidth="1"/>
    <col min="9731" max="9731" width="10.0859375" style="867" customWidth="1"/>
    <col min="9732" max="9732" width="9.68359375" style="867" customWidth="1"/>
    <col min="9733" max="9750" width="9.28125" style="867" customWidth="1"/>
    <col min="9751" max="9984" width="5.37890625" style="867"/>
    <col min="9985" max="9985" width="4.9765625" style="867" customWidth="1"/>
    <col min="9986" max="9986" width="17.21875" style="867" customWidth="1"/>
    <col min="9987" max="9987" width="10.0859375" style="867" customWidth="1"/>
    <col min="9988" max="9988" width="9.68359375" style="867" customWidth="1"/>
    <col min="9989" max="10006" width="9.28125" style="867" customWidth="1"/>
    <col min="10007" max="10240" width="5.37890625" style="867"/>
    <col min="10241" max="10241" width="4.9765625" style="867" customWidth="1"/>
    <col min="10242" max="10242" width="17.21875" style="867" customWidth="1"/>
    <col min="10243" max="10243" width="10.0859375" style="867" customWidth="1"/>
    <col min="10244" max="10244" width="9.68359375" style="867" customWidth="1"/>
    <col min="10245" max="10262" width="9.28125" style="867" customWidth="1"/>
    <col min="10263" max="10496" width="5.37890625" style="867"/>
    <col min="10497" max="10497" width="4.9765625" style="867" customWidth="1"/>
    <col min="10498" max="10498" width="17.21875" style="867" customWidth="1"/>
    <col min="10499" max="10499" width="10.0859375" style="867" customWidth="1"/>
    <col min="10500" max="10500" width="9.68359375" style="867" customWidth="1"/>
    <col min="10501" max="10518" width="9.28125" style="867" customWidth="1"/>
    <col min="10519" max="10752" width="5.37890625" style="867"/>
    <col min="10753" max="10753" width="4.9765625" style="867" customWidth="1"/>
    <col min="10754" max="10754" width="17.21875" style="867" customWidth="1"/>
    <col min="10755" max="10755" width="10.0859375" style="867" customWidth="1"/>
    <col min="10756" max="10756" width="9.68359375" style="867" customWidth="1"/>
    <col min="10757" max="10774" width="9.28125" style="867" customWidth="1"/>
    <col min="10775" max="11008" width="5.37890625" style="867"/>
    <col min="11009" max="11009" width="4.9765625" style="867" customWidth="1"/>
    <col min="11010" max="11010" width="17.21875" style="867" customWidth="1"/>
    <col min="11011" max="11011" width="10.0859375" style="867" customWidth="1"/>
    <col min="11012" max="11012" width="9.68359375" style="867" customWidth="1"/>
    <col min="11013" max="11030" width="9.28125" style="867" customWidth="1"/>
    <col min="11031" max="11264" width="5.37890625" style="867"/>
    <col min="11265" max="11265" width="4.9765625" style="867" customWidth="1"/>
    <col min="11266" max="11266" width="17.21875" style="867" customWidth="1"/>
    <col min="11267" max="11267" width="10.0859375" style="867" customWidth="1"/>
    <col min="11268" max="11268" width="9.68359375" style="867" customWidth="1"/>
    <col min="11269" max="11286" width="9.28125" style="867" customWidth="1"/>
    <col min="11287" max="11520" width="5.37890625" style="867"/>
    <col min="11521" max="11521" width="4.9765625" style="867" customWidth="1"/>
    <col min="11522" max="11522" width="17.21875" style="867" customWidth="1"/>
    <col min="11523" max="11523" width="10.0859375" style="867" customWidth="1"/>
    <col min="11524" max="11524" width="9.68359375" style="867" customWidth="1"/>
    <col min="11525" max="11542" width="9.28125" style="867" customWidth="1"/>
    <col min="11543" max="11776" width="5.37890625" style="867"/>
    <col min="11777" max="11777" width="4.9765625" style="867" customWidth="1"/>
    <col min="11778" max="11778" width="17.21875" style="867" customWidth="1"/>
    <col min="11779" max="11779" width="10.0859375" style="867" customWidth="1"/>
    <col min="11780" max="11780" width="9.68359375" style="867" customWidth="1"/>
    <col min="11781" max="11798" width="9.28125" style="867" customWidth="1"/>
    <col min="11799" max="12032" width="5.37890625" style="867"/>
    <col min="12033" max="12033" width="4.9765625" style="867" customWidth="1"/>
    <col min="12034" max="12034" width="17.21875" style="867" customWidth="1"/>
    <col min="12035" max="12035" width="10.0859375" style="867" customWidth="1"/>
    <col min="12036" max="12036" width="9.68359375" style="867" customWidth="1"/>
    <col min="12037" max="12054" width="9.28125" style="867" customWidth="1"/>
    <col min="12055" max="12288" width="5.37890625" style="867"/>
    <col min="12289" max="12289" width="4.9765625" style="867" customWidth="1"/>
    <col min="12290" max="12290" width="17.21875" style="867" customWidth="1"/>
    <col min="12291" max="12291" width="10.0859375" style="867" customWidth="1"/>
    <col min="12292" max="12292" width="9.68359375" style="867" customWidth="1"/>
    <col min="12293" max="12310" width="9.28125" style="867" customWidth="1"/>
    <col min="12311" max="12544" width="5.37890625" style="867"/>
    <col min="12545" max="12545" width="4.9765625" style="867" customWidth="1"/>
    <col min="12546" max="12546" width="17.21875" style="867" customWidth="1"/>
    <col min="12547" max="12547" width="10.0859375" style="867" customWidth="1"/>
    <col min="12548" max="12548" width="9.68359375" style="867" customWidth="1"/>
    <col min="12549" max="12566" width="9.28125" style="867" customWidth="1"/>
    <col min="12567" max="12800" width="5.37890625" style="867"/>
    <col min="12801" max="12801" width="4.9765625" style="867" customWidth="1"/>
    <col min="12802" max="12802" width="17.21875" style="867" customWidth="1"/>
    <col min="12803" max="12803" width="10.0859375" style="867" customWidth="1"/>
    <col min="12804" max="12804" width="9.68359375" style="867" customWidth="1"/>
    <col min="12805" max="12822" width="9.28125" style="867" customWidth="1"/>
    <col min="12823" max="13056" width="5.37890625" style="867"/>
    <col min="13057" max="13057" width="4.9765625" style="867" customWidth="1"/>
    <col min="13058" max="13058" width="17.21875" style="867" customWidth="1"/>
    <col min="13059" max="13059" width="10.0859375" style="867" customWidth="1"/>
    <col min="13060" max="13060" width="9.68359375" style="867" customWidth="1"/>
    <col min="13061" max="13078" width="9.28125" style="867" customWidth="1"/>
    <col min="13079" max="13312" width="5.37890625" style="867"/>
    <col min="13313" max="13313" width="4.9765625" style="867" customWidth="1"/>
    <col min="13314" max="13314" width="17.21875" style="867" customWidth="1"/>
    <col min="13315" max="13315" width="10.0859375" style="867" customWidth="1"/>
    <col min="13316" max="13316" width="9.68359375" style="867" customWidth="1"/>
    <col min="13317" max="13334" width="9.28125" style="867" customWidth="1"/>
    <col min="13335" max="13568" width="5.37890625" style="867"/>
    <col min="13569" max="13569" width="4.9765625" style="867" customWidth="1"/>
    <col min="13570" max="13570" width="17.21875" style="867" customWidth="1"/>
    <col min="13571" max="13571" width="10.0859375" style="867" customWidth="1"/>
    <col min="13572" max="13572" width="9.68359375" style="867" customWidth="1"/>
    <col min="13573" max="13590" width="9.28125" style="867" customWidth="1"/>
    <col min="13591" max="13824" width="5.37890625" style="867"/>
    <col min="13825" max="13825" width="4.9765625" style="867" customWidth="1"/>
    <col min="13826" max="13826" width="17.21875" style="867" customWidth="1"/>
    <col min="13827" max="13827" width="10.0859375" style="867" customWidth="1"/>
    <col min="13828" max="13828" width="9.68359375" style="867" customWidth="1"/>
    <col min="13829" max="13846" width="9.28125" style="867" customWidth="1"/>
    <col min="13847" max="14080" width="5.37890625" style="867"/>
    <col min="14081" max="14081" width="4.9765625" style="867" customWidth="1"/>
    <col min="14082" max="14082" width="17.21875" style="867" customWidth="1"/>
    <col min="14083" max="14083" width="10.0859375" style="867" customWidth="1"/>
    <col min="14084" max="14084" width="9.68359375" style="867" customWidth="1"/>
    <col min="14085" max="14102" width="9.28125" style="867" customWidth="1"/>
    <col min="14103" max="14336" width="5.37890625" style="867"/>
    <col min="14337" max="14337" width="4.9765625" style="867" customWidth="1"/>
    <col min="14338" max="14338" width="17.21875" style="867" customWidth="1"/>
    <col min="14339" max="14339" width="10.0859375" style="867" customWidth="1"/>
    <col min="14340" max="14340" width="9.68359375" style="867" customWidth="1"/>
    <col min="14341" max="14358" width="9.28125" style="867" customWidth="1"/>
    <col min="14359" max="14592" width="5.37890625" style="867"/>
    <col min="14593" max="14593" width="4.9765625" style="867" customWidth="1"/>
    <col min="14594" max="14594" width="17.21875" style="867" customWidth="1"/>
    <col min="14595" max="14595" width="10.0859375" style="867" customWidth="1"/>
    <col min="14596" max="14596" width="9.68359375" style="867" customWidth="1"/>
    <col min="14597" max="14614" width="9.28125" style="867" customWidth="1"/>
    <col min="14615" max="14848" width="5.37890625" style="867"/>
    <col min="14849" max="14849" width="4.9765625" style="867" customWidth="1"/>
    <col min="14850" max="14850" width="17.21875" style="867" customWidth="1"/>
    <col min="14851" max="14851" width="10.0859375" style="867" customWidth="1"/>
    <col min="14852" max="14852" width="9.68359375" style="867" customWidth="1"/>
    <col min="14853" max="14870" width="9.28125" style="867" customWidth="1"/>
    <col min="14871" max="15104" width="5.37890625" style="867"/>
    <col min="15105" max="15105" width="4.9765625" style="867" customWidth="1"/>
    <col min="15106" max="15106" width="17.21875" style="867" customWidth="1"/>
    <col min="15107" max="15107" width="10.0859375" style="867" customWidth="1"/>
    <col min="15108" max="15108" width="9.68359375" style="867" customWidth="1"/>
    <col min="15109" max="15126" width="9.28125" style="867" customWidth="1"/>
    <col min="15127" max="15360" width="5.37890625" style="867"/>
    <col min="15361" max="15361" width="4.9765625" style="867" customWidth="1"/>
    <col min="15362" max="15362" width="17.21875" style="867" customWidth="1"/>
    <col min="15363" max="15363" width="10.0859375" style="867" customWidth="1"/>
    <col min="15364" max="15364" width="9.68359375" style="867" customWidth="1"/>
    <col min="15365" max="15382" width="9.28125" style="867" customWidth="1"/>
    <col min="15383" max="15616" width="5.37890625" style="867"/>
    <col min="15617" max="15617" width="4.9765625" style="867" customWidth="1"/>
    <col min="15618" max="15618" width="17.21875" style="867" customWidth="1"/>
    <col min="15619" max="15619" width="10.0859375" style="867" customWidth="1"/>
    <col min="15620" max="15620" width="9.68359375" style="867" customWidth="1"/>
    <col min="15621" max="15638" width="9.28125" style="867" customWidth="1"/>
    <col min="15639" max="15872" width="5.37890625" style="867"/>
    <col min="15873" max="15873" width="4.9765625" style="867" customWidth="1"/>
    <col min="15874" max="15874" width="17.21875" style="867" customWidth="1"/>
    <col min="15875" max="15875" width="10.0859375" style="867" customWidth="1"/>
    <col min="15876" max="15876" width="9.68359375" style="867" customWidth="1"/>
    <col min="15877" max="15894" width="9.28125" style="867" customWidth="1"/>
    <col min="15895" max="16128" width="5.37890625" style="867"/>
    <col min="16129" max="16129" width="4.9765625" style="867" customWidth="1"/>
    <col min="16130" max="16130" width="17.21875" style="867" customWidth="1"/>
    <col min="16131" max="16131" width="10.0859375" style="867" customWidth="1"/>
    <col min="16132" max="16132" width="9.68359375" style="867" customWidth="1"/>
    <col min="16133" max="16150" width="9.28125" style="867" customWidth="1"/>
    <col min="16151" max="16384" width="5.37890625" style="867"/>
  </cols>
  <sheetData>
    <row r="1" spans="1:22" s="865" customFormat="1" ht="25.5" customHeight="1">
      <c r="A1" s="1991" t="s">
        <v>742</v>
      </c>
      <c r="B1" s="1991"/>
      <c r="C1" s="1991"/>
      <c r="D1" s="1991"/>
      <c r="E1" s="1991"/>
      <c r="F1" s="1991"/>
      <c r="G1" s="1991"/>
      <c r="H1" s="1991"/>
      <c r="I1" s="1991"/>
      <c r="J1" s="1991"/>
      <c r="K1" s="1991"/>
      <c r="L1" s="1991"/>
      <c r="M1" s="1991"/>
      <c r="N1" s="1991"/>
      <c r="O1" s="1991"/>
      <c r="P1" s="1991"/>
      <c r="Q1" s="1991"/>
      <c r="R1" s="1991"/>
      <c r="S1" s="1991"/>
      <c r="T1" s="1991"/>
      <c r="U1" s="1991"/>
      <c r="V1" s="1991"/>
    </row>
    <row r="2" spans="1:22" s="865" customFormat="1" ht="24" customHeight="1">
      <c r="A2" s="1010"/>
      <c r="B2" s="1010"/>
      <c r="C2" s="1010"/>
      <c r="D2" s="1010"/>
      <c r="E2" s="1010"/>
      <c r="F2" s="1010"/>
      <c r="G2" s="1010"/>
      <c r="H2" s="1010"/>
      <c r="I2" s="1010"/>
      <c r="J2" s="1010"/>
      <c r="K2" s="1010"/>
      <c r="L2" s="1010"/>
      <c r="M2" s="1010"/>
      <c r="N2" s="1010"/>
      <c r="O2" s="1010"/>
      <c r="P2" s="1010"/>
      <c r="Q2" s="1010"/>
      <c r="R2" s="1010"/>
      <c r="S2" s="1010"/>
      <c r="T2" s="1010"/>
      <c r="U2" s="1010"/>
      <c r="V2" s="1010"/>
    </row>
    <row r="3" spans="1:22" s="865" customFormat="1" ht="31.5" customHeight="1">
      <c r="A3" s="1010"/>
      <c r="B3" s="1010"/>
      <c r="C3" s="1992" t="s">
        <v>743</v>
      </c>
      <c r="D3" s="1993"/>
      <c r="E3" s="1993"/>
      <c r="F3" s="1993"/>
      <c r="G3" s="1993"/>
      <c r="H3" s="1993"/>
      <c r="I3" s="1993"/>
      <c r="J3" s="1993"/>
      <c r="K3" s="1993"/>
      <c r="L3" s="1993"/>
      <c r="M3" s="1993"/>
      <c r="N3" s="1993"/>
      <c r="O3" s="1993"/>
      <c r="P3" s="1993"/>
      <c r="Q3" s="1993"/>
      <c r="R3" s="1993"/>
      <c r="S3" s="1993"/>
      <c r="T3" s="1993"/>
      <c r="U3" s="1993"/>
      <c r="V3" s="1993"/>
    </row>
    <row r="4" spans="1:22" s="865" customFormat="1" ht="22.5" customHeight="1">
      <c r="A4" s="1010"/>
      <c r="B4" s="1010"/>
      <c r="C4" s="1994" t="s">
        <v>744</v>
      </c>
      <c r="D4" s="1993"/>
      <c r="E4" s="1993"/>
      <c r="F4" s="1993"/>
      <c r="G4" s="1993"/>
      <c r="H4" s="1993"/>
      <c r="I4" s="1993"/>
      <c r="J4" s="1993"/>
      <c r="K4" s="1993"/>
      <c r="L4" s="1993"/>
      <c r="M4" s="1993"/>
      <c r="N4" s="1993"/>
      <c r="O4" s="1993"/>
      <c r="P4" s="1993"/>
      <c r="Q4" s="1993"/>
      <c r="R4" s="1993"/>
      <c r="S4" s="1993"/>
      <c r="T4" s="1993"/>
      <c r="U4" s="1993"/>
      <c r="V4" s="1993"/>
    </row>
    <row r="5" spans="1:22" s="865" customFormat="1" ht="32.25" customHeight="1">
      <c r="A5" s="1010"/>
      <c r="B5" s="1010"/>
      <c r="C5" s="1994" t="s">
        <v>745</v>
      </c>
      <c r="D5" s="1993"/>
      <c r="E5" s="1993"/>
      <c r="F5" s="1993"/>
      <c r="G5" s="1993"/>
      <c r="H5" s="1993"/>
      <c r="I5" s="1993"/>
      <c r="J5" s="1993"/>
      <c r="K5" s="1993"/>
      <c r="L5" s="1993"/>
      <c r="M5" s="1993"/>
      <c r="N5" s="1993"/>
      <c r="O5" s="1993"/>
      <c r="P5" s="1993"/>
      <c r="Q5" s="1993"/>
      <c r="R5" s="1993"/>
      <c r="S5" s="1993"/>
      <c r="T5" s="1993"/>
      <c r="U5" s="1993"/>
      <c r="V5" s="1993"/>
    </row>
    <row r="6" spans="1:22" s="865" customFormat="1" ht="22.5" customHeight="1">
      <c r="A6" s="1010"/>
      <c r="B6" s="1010"/>
      <c r="C6" s="1994" t="s">
        <v>746</v>
      </c>
      <c r="D6" s="1993"/>
      <c r="E6" s="1993"/>
      <c r="F6" s="1993"/>
      <c r="G6" s="1993"/>
      <c r="H6" s="1993"/>
      <c r="I6" s="1993"/>
      <c r="J6" s="1993"/>
      <c r="K6" s="1993"/>
      <c r="L6" s="1993"/>
      <c r="M6" s="1993"/>
      <c r="N6" s="1993"/>
      <c r="O6" s="1993"/>
      <c r="P6" s="1993"/>
      <c r="Q6" s="1993"/>
      <c r="R6" s="1993"/>
      <c r="S6" s="1993"/>
      <c r="T6" s="1993"/>
      <c r="U6" s="1993"/>
      <c r="V6" s="1993"/>
    </row>
    <row r="7" spans="1:22" s="865" customFormat="1" ht="36.75" customHeight="1">
      <c r="A7" s="1010"/>
      <c r="B7" s="1010"/>
      <c r="C7" s="1994" t="s">
        <v>747</v>
      </c>
      <c r="D7" s="1993"/>
      <c r="E7" s="1993"/>
      <c r="F7" s="1993"/>
      <c r="G7" s="1993"/>
      <c r="H7" s="1993"/>
      <c r="I7" s="1993"/>
      <c r="J7" s="1993"/>
      <c r="K7" s="1993"/>
      <c r="L7" s="1993"/>
      <c r="M7" s="1993"/>
      <c r="N7" s="1993"/>
      <c r="O7" s="1993"/>
      <c r="P7" s="1993"/>
      <c r="Q7" s="1993"/>
      <c r="R7" s="1993"/>
      <c r="S7" s="1993"/>
      <c r="T7" s="1993"/>
      <c r="U7" s="1993"/>
      <c r="V7" s="1993"/>
    </row>
    <row r="8" spans="1:22" s="865" customFormat="1" ht="72.95" customHeight="1">
      <c r="A8" s="1010"/>
      <c r="B8" s="1010"/>
      <c r="C8" s="1996" t="s">
        <v>1149</v>
      </c>
      <c r="D8" s="1993"/>
      <c r="E8" s="1993"/>
      <c r="F8" s="1993"/>
      <c r="G8" s="1993"/>
      <c r="H8" s="1993"/>
      <c r="I8" s="1993"/>
      <c r="J8" s="1993"/>
      <c r="K8" s="1993"/>
      <c r="L8" s="1993"/>
      <c r="M8" s="1993"/>
      <c r="N8" s="1993"/>
      <c r="O8" s="1993"/>
      <c r="P8" s="1993"/>
      <c r="Q8" s="1993"/>
      <c r="R8" s="1993"/>
      <c r="S8" s="1993"/>
      <c r="T8" s="1993"/>
      <c r="U8" s="1993"/>
      <c r="V8" s="1993"/>
    </row>
    <row r="9" spans="1:22" s="865" customFormat="1" ht="48.75" customHeight="1">
      <c r="A9" s="1010"/>
      <c r="B9" s="1010"/>
      <c r="C9" s="1994" t="s">
        <v>748</v>
      </c>
      <c r="D9" s="1993"/>
      <c r="E9" s="1993"/>
      <c r="F9" s="1993"/>
      <c r="G9" s="1993"/>
      <c r="H9" s="1993"/>
      <c r="I9" s="1993"/>
      <c r="J9" s="1993"/>
      <c r="K9" s="1993"/>
      <c r="L9" s="1993"/>
      <c r="M9" s="1993"/>
      <c r="N9" s="1993"/>
      <c r="O9" s="1993"/>
      <c r="P9" s="1993"/>
      <c r="Q9" s="1993"/>
      <c r="R9" s="1993"/>
      <c r="S9" s="1993"/>
      <c r="T9" s="1993"/>
      <c r="U9" s="1993"/>
      <c r="V9" s="1993"/>
    </row>
    <row r="10" spans="1:22" s="865" customFormat="1" ht="72" customHeight="1">
      <c r="A10" s="1010"/>
      <c r="B10" s="1010"/>
      <c r="C10" s="1996" t="s">
        <v>1150</v>
      </c>
      <c r="D10" s="1997"/>
      <c r="E10" s="1997"/>
      <c r="F10" s="1997"/>
      <c r="G10" s="1997"/>
      <c r="H10" s="1997"/>
      <c r="I10" s="1997"/>
      <c r="J10" s="1997"/>
      <c r="K10" s="1997"/>
      <c r="L10" s="1997"/>
      <c r="M10" s="1997"/>
      <c r="N10" s="1997"/>
      <c r="O10" s="1997"/>
      <c r="P10" s="1997"/>
      <c r="Q10" s="1997"/>
      <c r="R10" s="1997"/>
      <c r="S10" s="1997"/>
      <c r="T10" s="1997"/>
      <c r="U10" s="1997"/>
      <c r="V10" s="1997"/>
    </row>
    <row r="11" spans="1:22" s="865" customFormat="1" ht="51.75" customHeight="1">
      <c r="A11" s="1010"/>
      <c r="B11" s="1010"/>
      <c r="C11" s="1994" t="s">
        <v>749</v>
      </c>
      <c r="D11" s="1993"/>
      <c r="E11" s="1993"/>
      <c r="F11" s="1993"/>
      <c r="G11" s="1993"/>
      <c r="H11" s="1993"/>
      <c r="I11" s="1993"/>
      <c r="J11" s="1993"/>
      <c r="K11" s="1993"/>
      <c r="L11" s="1993"/>
      <c r="M11" s="1993"/>
      <c r="N11" s="1993"/>
      <c r="O11" s="1993"/>
      <c r="P11" s="1993"/>
      <c r="Q11" s="1993"/>
      <c r="R11" s="1993"/>
      <c r="S11" s="1993"/>
      <c r="T11" s="1993"/>
      <c r="U11" s="1993"/>
      <c r="V11" s="1993"/>
    </row>
    <row r="12" spans="1:22" s="865" customFormat="1" ht="43.5" customHeight="1">
      <c r="A12" s="1010"/>
      <c r="B12" s="1010"/>
      <c r="C12" s="1994" t="s">
        <v>1086</v>
      </c>
      <c r="D12" s="1993"/>
      <c r="E12" s="1993"/>
      <c r="F12" s="1993"/>
      <c r="G12" s="1993"/>
      <c r="H12" s="1993"/>
      <c r="I12" s="1993"/>
      <c r="J12" s="1993"/>
      <c r="K12" s="1993"/>
      <c r="L12" s="1993"/>
      <c r="M12" s="1993"/>
      <c r="N12" s="1993"/>
      <c r="O12" s="1993"/>
      <c r="P12" s="1993"/>
      <c r="Q12" s="1993"/>
      <c r="R12" s="1993"/>
      <c r="S12" s="1993"/>
      <c r="T12" s="1993"/>
      <c r="U12" s="1993"/>
      <c r="V12" s="1993"/>
    </row>
    <row r="13" spans="1:22" s="865" customFormat="1" ht="27" customHeight="1" thickBot="1">
      <c r="A13" s="1006"/>
      <c r="B13" s="1006"/>
      <c r="C13" s="1006"/>
      <c r="D13" s="1995"/>
      <c r="E13" s="1995"/>
      <c r="F13" s="1995"/>
      <c r="G13" s="1995"/>
      <c r="H13" s="1995"/>
      <c r="I13" s="1995"/>
      <c r="J13" s="1995"/>
      <c r="K13" s="1995"/>
      <c r="L13" s="1995"/>
      <c r="M13" s="1995"/>
      <c r="N13" s="1995"/>
      <c r="O13" s="1995"/>
      <c r="P13" s="1995"/>
      <c r="Q13" s="1995"/>
      <c r="R13" s="1995"/>
      <c r="S13" s="1995"/>
      <c r="T13" s="1995"/>
      <c r="U13" s="1995"/>
      <c r="V13" s="1995"/>
    </row>
    <row r="14" spans="1:22" s="865" customFormat="1" ht="24" customHeight="1" thickBot="1">
      <c r="A14" s="1998" t="s">
        <v>0</v>
      </c>
      <c r="B14" s="1978" t="s">
        <v>750</v>
      </c>
      <c r="C14" s="1999" t="s">
        <v>751</v>
      </c>
      <c r="D14" s="1978" t="s">
        <v>181</v>
      </c>
      <c r="E14" s="1978" t="s">
        <v>25</v>
      </c>
      <c r="F14" s="1979"/>
      <c r="G14" s="1978" t="s">
        <v>27</v>
      </c>
      <c r="H14" s="1979"/>
      <c r="I14" s="1978" t="s">
        <v>29</v>
      </c>
      <c r="J14" s="1979"/>
      <c r="K14" s="1978" t="s">
        <v>182</v>
      </c>
      <c r="L14" s="1979"/>
      <c r="M14" s="1979"/>
      <c r="N14" s="1979"/>
      <c r="O14" s="1979"/>
      <c r="P14" s="1979"/>
      <c r="Q14" s="1980" t="s">
        <v>183</v>
      </c>
      <c r="R14" s="1981"/>
      <c r="S14" s="1981"/>
      <c r="T14" s="1981"/>
      <c r="U14" s="1981"/>
      <c r="V14" s="1982"/>
    </row>
    <row r="15" spans="1:22" s="865" customFormat="1" ht="27" customHeight="1" thickBot="1">
      <c r="A15" s="1998"/>
      <c r="B15" s="1978"/>
      <c r="C15" s="2000"/>
      <c r="D15" s="1979"/>
      <c r="E15" s="1979"/>
      <c r="F15" s="1979"/>
      <c r="G15" s="1979"/>
      <c r="H15" s="1979"/>
      <c r="I15" s="1979"/>
      <c r="J15" s="1979"/>
      <c r="K15" s="1978" t="s">
        <v>184</v>
      </c>
      <c r="L15" s="1978"/>
      <c r="M15" s="1978" t="s">
        <v>185</v>
      </c>
      <c r="N15" s="1978"/>
      <c r="O15" s="1978" t="s">
        <v>186</v>
      </c>
      <c r="P15" s="1978"/>
      <c r="Q15" s="1978" t="s">
        <v>184</v>
      </c>
      <c r="R15" s="1978"/>
      <c r="S15" s="1978" t="s">
        <v>185</v>
      </c>
      <c r="T15" s="1978"/>
      <c r="U15" s="1978" t="s">
        <v>186</v>
      </c>
      <c r="V15" s="1983"/>
    </row>
    <row r="16" spans="1:22" s="865" customFormat="1" ht="39" customHeight="1" thickBot="1">
      <c r="A16" s="1998"/>
      <c r="B16" s="1978"/>
      <c r="C16" s="1958"/>
      <c r="D16" s="1979"/>
      <c r="E16" s="1009" t="s">
        <v>326</v>
      </c>
      <c r="F16" s="1044" t="s">
        <v>325</v>
      </c>
      <c r="G16" s="1009" t="s">
        <v>326</v>
      </c>
      <c r="H16" s="1044" t="s">
        <v>325</v>
      </c>
      <c r="I16" s="1009" t="s">
        <v>326</v>
      </c>
      <c r="J16" s="1044" t="s">
        <v>325</v>
      </c>
      <c r="K16" s="1009" t="s">
        <v>326</v>
      </c>
      <c r="L16" s="1044" t="s">
        <v>325</v>
      </c>
      <c r="M16" s="1009" t="s">
        <v>326</v>
      </c>
      <c r="N16" s="1044" t="s">
        <v>325</v>
      </c>
      <c r="O16" s="1009" t="s">
        <v>326</v>
      </c>
      <c r="P16" s="1044" t="s">
        <v>325</v>
      </c>
      <c r="Q16" s="1009" t="s">
        <v>326</v>
      </c>
      <c r="R16" s="1044" t="s">
        <v>325</v>
      </c>
      <c r="S16" s="1009" t="s">
        <v>326</v>
      </c>
      <c r="T16" s="1044" t="s">
        <v>325</v>
      </c>
      <c r="U16" s="1009" t="s">
        <v>326</v>
      </c>
      <c r="V16" s="1033" t="s">
        <v>325</v>
      </c>
    </row>
    <row r="17" spans="1:26" s="865" customFormat="1" ht="20.25" thickBot="1">
      <c r="A17" s="866">
        <v>1</v>
      </c>
      <c r="B17" s="1009">
        <f>A17+1</f>
        <v>2</v>
      </c>
      <c r="C17" s="1009">
        <f>B17+1</f>
        <v>3</v>
      </c>
      <c r="D17" s="1009">
        <f t="shared" ref="D17:U17" si="0">C17+1</f>
        <v>4</v>
      </c>
      <c r="E17" s="1009">
        <f t="shared" si="0"/>
        <v>5</v>
      </c>
      <c r="F17" s="1044">
        <f t="shared" si="0"/>
        <v>6</v>
      </c>
      <c r="G17" s="1009">
        <f t="shared" si="0"/>
        <v>7</v>
      </c>
      <c r="H17" s="1044">
        <f t="shared" si="0"/>
        <v>8</v>
      </c>
      <c r="I17" s="1009">
        <f t="shared" si="0"/>
        <v>9</v>
      </c>
      <c r="J17" s="1044">
        <f t="shared" si="0"/>
        <v>10</v>
      </c>
      <c r="K17" s="1009">
        <f t="shared" si="0"/>
        <v>11</v>
      </c>
      <c r="L17" s="1044">
        <f t="shared" si="0"/>
        <v>12</v>
      </c>
      <c r="M17" s="1009">
        <f t="shared" si="0"/>
        <v>13</v>
      </c>
      <c r="N17" s="1044">
        <f t="shared" si="0"/>
        <v>14</v>
      </c>
      <c r="O17" s="1009">
        <f t="shared" si="0"/>
        <v>15</v>
      </c>
      <c r="P17" s="1044">
        <f t="shared" si="0"/>
        <v>16</v>
      </c>
      <c r="Q17" s="1009">
        <f t="shared" si="0"/>
        <v>17</v>
      </c>
      <c r="R17" s="1044">
        <f t="shared" si="0"/>
        <v>18</v>
      </c>
      <c r="S17" s="1009">
        <f t="shared" si="0"/>
        <v>19</v>
      </c>
      <c r="T17" s="1044">
        <f t="shared" si="0"/>
        <v>20</v>
      </c>
      <c r="U17" s="1009">
        <f t="shared" si="0"/>
        <v>21</v>
      </c>
      <c r="V17" s="1033">
        <f>U17+1</f>
        <v>22</v>
      </c>
    </row>
    <row r="18" spans="1:26" ht="18.75" hidden="1" thickBot="1">
      <c r="A18" s="1019"/>
      <c r="B18" s="1020"/>
      <c r="C18" s="1020"/>
      <c r="D18" s="1031"/>
      <c r="E18" s="1031"/>
      <c r="F18" s="1045"/>
      <c r="G18" s="1031"/>
      <c r="H18" s="1045"/>
      <c r="I18" s="1031"/>
      <c r="J18" s="1045"/>
      <c r="K18" s="1031"/>
      <c r="L18" s="1045"/>
      <c r="M18" s="1031"/>
      <c r="N18" s="1045"/>
      <c r="O18" s="1031"/>
      <c r="P18" s="1045"/>
      <c r="Q18" s="1031"/>
      <c r="R18" s="1045"/>
      <c r="S18" s="1031"/>
      <c r="T18" s="1045"/>
      <c r="U18" s="1031"/>
      <c r="V18" s="1034"/>
    </row>
    <row r="19" spans="1:26" ht="67.5" customHeight="1" thickBot="1">
      <c r="A19" s="1008">
        <f t="shared" ref="A19:A24" si="1">A18+1</f>
        <v>1</v>
      </c>
      <c r="B19" s="868" t="s">
        <v>752</v>
      </c>
      <c r="C19" s="869"/>
      <c r="D19" s="870" t="s">
        <v>753</v>
      </c>
      <c r="E19" s="871">
        <v>155</v>
      </c>
      <c r="F19" s="1024">
        <v>128</v>
      </c>
      <c r="G19" s="872">
        <v>140</v>
      </c>
      <c r="H19" s="1024">
        <v>112</v>
      </c>
      <c r="I19" s="872">
        <v>127</v>
      </c>
      <c r="J19" s="1024">
        <v>100</v>
      </c>
      <c r="K19" s="872">
        <v>112</v>
      </c>
      <c r="L19" s="1024">
        <v>87</v>
      </c>
      <c r="M19" s="872">
        <v>95</v>
      </c>
      <c r="N19" s="1024">
        <v>70</v>
      </c>
      <c r="O19" s="872">
        <v>75</v>
      </c>
      <c r="P19" s="1024">
        <v>52</v>
      </c>
      <c r="Q19" s="873"/>
      <c r="R19" s="1028"/>
      <c r="S19" s="873"/>
      <c r="T19" s="1028"/>
      <c r="U19" s="873"/>
      <c r="V19" s="1035"/>
      <c r="Z19" s="1032"/>
    </row>
    <row r="20" spans="1:26" ht="66.75" customHeight="1" thickBot="1">
      <c r="A20" s="1008">
        <f t="shared" si="1"/>
        <v>2</v>
      </c>
      <c r="B20" s="868" t="s">
        <v>754</v>
      </c>
      <c r="C20" s="869"/>
      <c r="D20" s="870" t="s">
        <v>753</v>
      </c>
      <c r="E20" s="871">
        <v>230</v>
      </c>
      <c r="F20" s="1024">
        <v>200</v>
      </c>
      <c r="G20" s="872">
        <v>202</v>
      </c>
      <c r="H20" s="1024">
        <v>174</v>
      </c>
      <c r="I20" s="872">
        <v>172</v>
      </c>
      <c r="J20" s="1024">
        <v>145</v>
      </c>
      <c r="K20" s="872">
        <v>142</v>
      </c>
      <c r="L20" s="1024">
        <v>114</v>
      </c>
      <c r="M20" s="872">
        <v>100</v>
      </c>
      <c r="N20" s="1024">
        <v>81</v>
      </c>
      <c r="O20" s="872">
        <v>80</v>
      </c>
      <c r="P20" s="1024">
        <v>62</v>
      </c>
      <c r="Q20" s="873"/>
      <c r="R20" s="1028"/>
      <c r="S20" s="873"/>
      <c r="T20" s="1028"/>
      <c r="U20" s="873"/>
      <c r="V20" s="1035"/>
    </row>
    <row r="21" spans="1:26" ht="60" customHeight="1" thickBot="1">
      <c r="A21" s="1008">
        <f t="shared" si="1"/>
        <v>3</v>
      </c>
      <c r="B21" s="868" t="s">
        <v>755</v>
      </c>
      <c r="C21" s="869"/>
      <c r="D21" s="870" t="s">
        <v>753</v>
      </c>
      <c r="E21" s="871">
        <v>72</v>
      </c>
      <c r="F21" s="1024">
        <v>55</v>
      </c>
      <c r="G21" s="872">
        <v>66</v>
      </c>
      <c r="H21" s="1024">
        <v>50</v>
      </c>
      <c r="I21" s="872">
        <v>60</v>
      </c>
      <c r="J21" s="1024">
        <v>45</v>
      </c>
      <c r="K21" s="874">
        <v>54</v>
      </c>
      <c r="L21" s="1024">
        <v>40</v>
      </c>
      <c r="M21" s="872">
        <v>48</v>
      </c>
      <c r="N21" s="1024">
        <v>35</v>
      </c>
      <c r="O21" s="872">
        <v>42</v>
      </c>
      <c r="P21" s="1024">
        <v>30</v>
      </c>
      <c r="Q21" s="873"/>
      <c r="R21" s="1028"/>
      <c r="S21" s="873"/>
      <c r="T21" s="1028"/>
      <c r="U21" s="873"/>
      <c r="V21" s="1035"/>
    </row>
    <row r="22" spans="1:26" ht="78.75" thickBot="1">
      <c r="A22" s="1008">
        <f t="shared" si="1"/>
        <v>4</v>
      </c>
      <c r="B22" s="868" t="s">
        <v>756</v>
      </c>
      <c r="C22" s="869"/>
      <c r="D22" s="870" t="s">
        <v>753</v>
      </c>
      <c r="E22" s="871">
        <v>85</v>
      </c>
      <c r="F22" s="1024">
        <v>76</v>
      </c>
      <c r="G22" s="872">
        <v>79</v>
      </c>
      <c r="H22" s="1024">
        <v>70</v>
      </c>
      <c r="I22" s="872">
        <v>73</v>
      </c>
      <c r="J22" s="1024">
        <v>64</v>
      </c>
      <c r="K22" s="874">
        <v>67</v>
      </c>
      <c r="L22" s="1024">
        <v>58</v>
      </c>
      <c r="M22" s="872">
        <v>61</v>
      </c>
      <c r="N22" s="1024">
        <v>52</v>
      </c>
      <c r="O22" s="872">
        <v>55</v>
      </c>
      <c r="P22" s="1024">
        <v>46</v>
      </c>
      <c r="Q22" s="873"/>
      <c r="R22" s="1028"/>
      <c r="S22" s="873"/>
      <c r="T22" s="1028"/>
      <c r="U22" s="873"/>
      <c r="V22" s="1035"/>
    </row>
    <row r="23" spans="1:26" ht="63.75" thickBot="1">
      <c r="A23" s="1008">
        <f t="shared" si="1"/>
        <v>5</v>
      </c>
      <c r="B23" s="868" t="s">
        <v>757</v>
      </c>
      <c r="C23" s="869"/>
      <c r="D23" s="870" t="s">
        <v>753</v>
      </c>
      <c r="E23" s="871">
        <v>97</v>
      </c>
      <c r="F23" s="1024">
        <v>80</v>
      </c>
      <c r="G23" s="872">
        <v>90</v>
      </c>
      <c r="H23" s="1024">
        <v>74</v>
      </c>
      <c r="I23" s="872">
        <v>83</v>
      </c>
      <c r="J23" s="1024">
        <v>68</v>
      </c>
      <c r="K23" s="874">
        <v>76</v>
      </c>
      <c r="L23" s="1024">
        <v>62</v>
      </c>
      <c r="M23" s="872">
        <v>67</v>
      </c>
      <c r="N23" s="1024">
        <v>56</v>
      </c>
      <c r="O23" s="872">
        <v>60</v>
      </c>
      <c r="P23" s="1024">
        <v>50</v>
      </c>
      <c r="Q23" s="873"/>
      <c r="R23" s="1028"/>
      <c r="S23" s="873"/>
      <c r="T23" s="1028"/>
      <c r="U23" s="873"/>
      <c r="V23" s="1035"/>
    </row>
    <row r="24" spans="1:26" ht="54" customHeight="1">
      <c r="A24" s="1955">
        <f t="shared" si="1"/>
        <v>6</v>
      </c>
      <c r="B24" s="1957" t="s">
        <v>758</v>
      </c>
      <c r="C24" s="875" t="s">
        <v>729</v>
      </c>
      <c r="D24" s="876" t="s">
        <v>1151</v>
      </c>
      <c r="E24" s="877"/>
      <c r="F24" s="1025"/>
      <c r="G24" s="877"/>
      <c r="H24" s="1025"/>
      <c r="I24" s="878">
        <v>4.5833333333333338E-4</v>
      </c>
      <c r="J24" s="1025">
        <v>4.8148148148148155E-4</v>
      </c>
      <c r="K24" s="879">
        <v>4.884259259259259E-4</v>
      </c>
      <c r="L24" s="1025">
        <v>5.2083333333333333E-4</v>
      </c>
      <c r="M24" s="878">
        <v>5.2777777777777773E-4</v>
      </c>
      <c r="N24" s="1025">
        <v>5.6250000000000007E-4</v>
      </c>
      <c r="O24" s="878">
        <v>5.7291666666666667E-4</v>
      </c>
      <c r="P24" s="1025">
        <v>6.134259259259259E-4</v>
      </c>
      <c r="Q24" s="877"/>
      <c r="R24" s="1025"/>
      <c r="S24" s="877"/>
      <c r="T24" s="1025"/>
      <c r="U24" s="877"/>
      <c r="V24" s="1036"/>
    </row>
    <row r="25" spans="1:26" ht="54" customHeight="1" thickBot="1">
      <c r="A25" s="1956"/>
      <c r="B25" s="1958"/>
      <c r="C25" s="880" t="s">
        <v>730</v>
      </c>
      <c r="D25" s="881" t="s">
        <v>1151</v>
      </c>
      <c r="E25" s="882" t="s">
        <v>759</v>
      </c>
      <c r="F25" s="1026" t="s">
        <v>760</v>
      </c>
      <c r="G25" s="883" t="s">
        <v>761</v>
      </c>
      <c r="H25" s="1026" t="s">
        <v>762</v>
      </c>
      <c r="I25" s="883" t="s">
        <v>763</v>
      </c>
      <c r="J25" s="1026" t="s">
        <v>764</v>
      </c>
      <c r="K25" s="884" t="s">
        <v>765</v>
      </c>
      <c r="L25" s="1026" t="s">
        <v>766</v>
      </c>
      <c r="M25" s="884" t="s">
        <v>767</v>
      </c>
      <c r="N25" s="1026" t="s">
        <v>768</v>
      </c>
      <c r="O25" s="884" t="s">
        <v>769</v>
      </c>
      <c r="P25" s="1026" t="s">
        <v>770</v>
      </c>
      <c r="Q25" s="1021"/>
      <c r="R25" s="1046"/>
      <c r="S25" s="1021"/>
      <c r="T25" s="1046"/>
      <c r="U25" s="1021"/>
      <c r="V25" s="1037"/>
    </row>
    <row r="26" spans="1:26" ht="56.25" customHeight="1">
      <c r="A26" s="1955">
        <f>A24+1</f>
        <v>7</v>
      </c>
      <c r="B26" s="1957" t="s">
        <v>215</v>
      </c>
      <c r="C26" s="875" t="s">
        <v>729</v>
      </c>
      <c r="D26" s="876" t="s">
        <v>1151</v>
      </c>
      <c r="E26" s="877"/>
      <c r="F26" s="1025"/>
      <c r="G26" s="877"/>
      <c r="H26" s="1025"/>
      <c r="I26" s="878">
        <v>1.2152777777777778E-3</v>
      </c>
      <c r="J26" s="1025">
        <v>1.3715277777777779E-3</v>
      </c>
      <c r="K26" s="878">
        <v>1.3020833333333333E-3</v>
      </c>
      <c r="L26" s="1025">
        <v>1.4756944444444444E-3</v>
      </c>
      <c r="M26" s="878">
        <v>1.417824074074074E-3</v>
      </c>
      <c r="N26" s="1025">
        <v>1.5740740740740741E-3</v>
      </c>
      <c r="O26" s="878">
        <v>1.5277777777777779E-3</v>
      </c>
      <c r="P26" s="1025">
        <v>1.6956018518518518E-3</v>
      </c>
      <c r="Q26" s="878">
        <v>1.6840277777777776E-3</v>
      </c>
      <c r="R26" s="1025">
        <v>1.8634259259259261E-3</v>
      </c>
      <c r="S26" s="878">
        <v>1.8518518518518517E-3</v>
      </c>
      <c r="T26" s="1025">
        <v>2.0254629629629629E-3</v>
      </c>
      <c r="U26" s="878">
        <v>2.0138888888888888E-3</v>
      </c>
      <c r="V26" s="1036">
        <v>2.1990740740740742E-3</v>
      </c>
    </row>
    <row r="27" spans="1:26" ht="57" customHeight="1" thickBot="1">
      <c r="A27" s="1956"/>
      <c r="B27" s="1958"/>
      <c r="C27" s="880" t="s">
        <v>730</v>
      </c>
      <c r="D27" s="881" t="s">
        <v>1151</v>
      </c>
      <c r="E27" s="882" t="s">
        <v>771</v>
      </c>
      <c r="F27" s="1026" t="s">
        <v>772</v>
      </c>
      <c r="G27" s="883" t="s">
        <v>773</v>
      </c>
      <c r="H27" s="1026" t="s">
        <v>774</v>
      </c>
      <c r="I27" s="883" t="s">
        <v>775</v>
      </c>
      <c r="J27" s="1026" t="s">
        <v>776</v>
      </c>
      <c r="K27" s="884" t="s">
        <v>777</v>
      </c>
      <c r="L27" s="1026" t="s">
        <v>778</v>
      </c>
      <c r="M27" s="883" t="s">
        <v>779</v>
      </c>
      <c r="N27" s="1026" t="s">
        <v>780</v>
      </c>
      <c r="O27" s="883" t="s">
        <v>781</v>
      </c>
      <c r="P27" s="1049" t="s">
        <v>782</v>
      </c>
      <c r="Q27" s="1022" t="s">
        <v>1152</v>
      </c>
      <c r="R27" s="1046" t="s">
        <v>1153</v>
      </c>
      <c r="S27" s="1022" t="s">
        <v>1154</v>
      </c>
      <c r="T27" s="1046" t="s">
        <v>1155</v>
      </c>
      <c r="U27" s="1022" t="s">
        <v>1156</v>
      </c>
      <c r="V27" s="1037" t="s">
        <v>1157</v>
      </c>
    </row>
    <row r="28" spans="1:26" ht="54.75" customHeight="1">
      <c r="A28" s="1955">
        <f>A26+1</f>
        <v>8</v>
      </c>
      <c r="B28" s="1957" t="s">
        <v>783</v>
      </c>
      <c r="C28" s="875" t="s">
        <v>729</v>
      </c>
      <c r="D28" s="876" t="s">
        <v>1151</v>
      </c>
      <c r="E28" s="877"/>
      <c r="F28" s="1025"/>
      <c r="G28" s="877"/>
      <c r="H28" s="1025"/>
      <c r="I28" s="878">
        <v>2.7777777777777779E-3</v>
      </c>
      <c r="J28" s="1025">
        <v>3.0960648148148149E-3</v>
      </c>
      <c r="K28" s="878">
        <v>2.9687500000000005E-3</v>
      </c>
      <c r="L28" s="1025">
        <v>3.2870370370370367E-3</v>
      </c>
      <c r="M28" s="878">
        <v>3.2002314814814814E-3</v>
      </c>
      <c r="N28" s="1025">
        <v>3.4490740740740745E-3</v>
      </c>
      <c r="O28" s="878">
        <v>3.472222222222222E-3</v>
      </c>
      <c r="P28" s="1025">
        <v>3.8657407407407408E-3</v>
      </c>
      <c r="Q28" s="1023">
        <v>3.7962962962962963E-3</v>
      </c>
      <c r="R28" s="1047">
        <v>4.108796296296297E-3</v>
      </c>
      <c r="S28" s="1023">
        <v>4.0798611111111114E-3</v>
      </c>
      <c r="T28" s="1047">
        <v>4.5370370370370365E-3</v>
      </c>
      <c r="U28" s="1023">
        <v>4.4907407407407405E-3</v>
      </c>
      <c r="V28" s="1038">
        <v>4.8611111111111112E-3</v>
      </c>
    </row>
    <row r="29" spans="1:26" ht="55.5" customHeight="1" thickBot="1">
      <c r="A29" s="1956"/>
      <c r="B29" s="1958"/>
      <c r="C29" s="880" t="s">
        <v>730</v>
      </c>
      <c r="D29" s="881" t="s">
        <v>1151</v>
      </c>
      <c r="E29" s="882" t="s">
        <v>784</v>
      </c>
      <c r="F29" s="1026" t="s">
        <v>785</v>
      </c>
      <c r="G29" s="883" t="s">
        <v>786</v>
      </c>
      <c r="H29" s="1026" t="s">
        <v>787</v>
      </c>
      <c r="I29" s="883" t="s">
        <v>788</v>
      </c>
      <c r="J29" s="1026" t="s">
        <v>789</v>
      </c>
      <c r="K29" s="884" t="s">
        <v>790</v>
      </c>
      <c r="L29" s="1026" t="s">
        <v>791</v>
      </c>
      <c r="M29" s="883" t="s">
        <v>792</v>
      </c>
      <c r="N29" s="1026" t="s">
        <v>793</v>
      </c>
      <c r="O29" s="883" t="s">
        <v>794</v>
      </c>
      <c r="P29" s="1026" t="s">
        <v>795</v>
      </c>
      <c r="Q29" s="884" t="s">
        <v>1158</v>
      </c>
      <c r="R29" s="1026" t="s">
        <v>1159</v>
      </c>
      <c r="S29" s="884" t="s">
        <v>1160</v>
      </c>
      <c r="T29" s="1026" t="s">
        <v>1161</v>
      </c>
      <c r="U29" s="884" t="s">
        <v>1162</v>
      </c>
      <c r="V29" s="1039" t="s">
        <v>958</v>
      </c>
    </row>
    <row r="30" spans="1:26" ht="55.5" customHeight="1">
      <c r="A30" s="1955">
        <f>A28+1</f>
        <v>9</v>
      </c>
      <c r="B30" s="1957" t="s">
        <v>796</v>
      </c>
      <c r="C30" s="875" t="s">
        <v>729</v>
      </c>
      <c r="D30" s="876" t="s">
        <v>1151</v>
      </c>
      <c r="E30" s="877"/>
      <c r="F30" s="1025"/>
      <c r="G30" s="877"/>
      <c r="H30" s="1025"/>
      <c r="I30" s="878">
        <v>2.4074074074074077E-4</v>
      </c>
      <c r="J30" s="1025">
        <v>2.9861111111111109E-4</v>
      </c>
      <c r="K30" s="878">
        <v>2.6620370370370372E-4</v>
      </c>
      <c r="L30" s="1025">
        <v>3.2407407407407406E-4</v>
      </c>
      <c r="M30" s="878">
        <v>2.9513888888888889E-4</v>
      </c>
      <c r="N30" s="1025">
        <v>3.5069444444444444E-4</v>
      </c>
      <c r="O30" s="878">
        <v>3.4259259259259263E-4</v>
      </c>
      <c r="P30" s="1025">
        <v>4.0509259259259258E-4</v>
      </c>
      <c r="Q30" s="878">
        <v>3.8194444444444446E-4</v>
      </c>
      <c r="R30" s="1025">
        <v>4.4560185185185192E-4</v>
      </c>
      <c r="S30" s="878">
        <v>4.1898148148148155E-4</v>
      </c>
      <c r="T30" s="1025">
        <v>4.7453703703703704E-4</v>
      </c>
      <c r="U30" s="878">
        <v>4.5138888888888892E-4</v>
      </c>
      <c r="V30" s="1036">
        <v>5.2083333333333333E-4</v>
      </c>
    </row>
    <row r="31" spans="1:26" ht="55.5" customHeight="1" thickBot="1">
      <c r="A31" s="1956"/>
      <c r="B31" s="1958"/>
      <c r="C31" s="880" t="s">
        <v>730</v>
      </c>
      <c r="D31" s="881" t="s">
        <v>1151</v>
      </c>
      <c r="E31" s="883" t="s">
        <v>797</v>
      </c>
      <c r="F31" s="1026" t="s">
        <v>798</v>
      </c>
      <c r="G31" s="883" t="s">
        <v>737</v>
      </c>
      <c r="H31" s="1026" t="s">
        <v>799</v>
      </c>
      <c r="I31" s="883" t="s">
        <v>800</v>
      </c>
      <c r="J31" s="1026" t="s">
        <v>801</v>
      </c>
      <c r="K31" s="884" t="s">
        <v>802</v>
      </c>
      <c r="L31" s="1026" t="s">
        <v>803</v>
      </c>
      <c r="M31" s="883" t="s">
        <v>804</v>
      </c>
      <c r="N31" s="1026" t="s">
        <v>805</v>
      </c>
      <c r="O31" s="883" t="s">
        <v>806</v>
      </c>
      <c r="P31" s="1026" t="s">
        <v>807</v>
      </c>
      <c r="Q31" s="884" t="s">
        <v>1163</v>
      </c>
      <c r="R31" s="1026" t="s">
        <v>1164</v>
      </c>
      <c r="S31" s="884" t="s">
        <v>928</v>
      </c>
      <c r="T31" s="1026" t="s">
        <v>1165</v>
      </c>
      <c r="U31" s="884" t="s">
        <v>1166</v>
      </c>
      <c r="V31" s="1039" t="s">
        <v>766</v>
      </c>
    </row>
    <row r="32" spans="1:26" ht="53.25" customHeight="1">
      <c r="A32" s="1955">
        <f>A30+1</f>
        <v>10</v>
      </c>
      <c r="B32" s="1957" t="s">
        <v>213</v>
      </c>
      <c r="C32" s="875" t="s">
        <v>729</v>
      </c>
      <c r="D32" s="876" t="s">
        <v>1151</v>
      </c>
      <c r="E32" s="877"/>
      <c r="F32" s="1025"/>
      <c r="G32" s="877"/>
      <c r="H32" s="1025"/>
      <c r="I32" s="878">
        <v>1.8749999999999998E-4</v>
      </c>
      <c r="J32" s="1025">
        <v>2.1064814814814815E-4</v>
      </c>
      <c r="K32" s="878">
        <v>2.0023148148148146E-4</v>
      </c>
      <c r="L32" s="1025">
        <v>2.2453703703703701E-4</v>
      </c>
      <c r="M32" s="878">
        <v>2.175925925925926E-4</v>
      </c>
      <c r="N32" s="1025">
        <v>2.4421296296296295E-4</v>
      </c>
      <c r="O32" s="878">
        <v>2.3611111111111109E-4</v>
      </c>
      <c r="P32" s="1025">
        <v>2.6504629629629626E-4</v>
      </c>
      <c r="Q32" s="877"/>
      <c r="R32" s="1025"/>
      <c r="S32" s="877"/>
      <c r="T32" s="1025"/>
      <c r="U32" s="877"/>
      <c r="V32" s="1036"/>
    </row>
    <row r="33" spans="1:22" ht="53.25" customHeight="1" thickBot="1">
      <c r="A33" s="1956"/>
      <c r="B33" s="1958"/>
      <c r="C33" s="880" t="s">
        <v>730</v>
      </c>
      <c r="D33" s="881" t="s">
        <v>1151</v>
      </c>
      <c r="E33" s="882" t="s">
        <v>731</v>
      </c>
      <c r="F33" s="1026" t="s">
        <v>732</v>
      </c>
      <c r="G33" s="883" t="s">
        <v>733</v>
      </c>
      <c r="H33" s="1026" t="s">
        <v>734</v>
      </c>
      <c r="I33" s="883" t="s">
        <v>735</v>
      </c>
      <c r="J33" s="1026" t="s">
        <v>736</v>
      </c>
      <c r="K33" s="884" t="s">
        <v>734</v>
      </c>
      <c r="L33" s="1026" t="s">
        <v>737</v>
      </c>
      <c r="M33" s="883" t="s">
        <v>738</v>
      </c>
      <c r="N33" s="1026" t="s">
        <v>739</v>
      </c>
      <c r="O33" s="883" t="s">
        <v>740</v>
      </c>
      <c r="P33" s="1026" t="s">
        <v>741</v>
      </c>
      <c r="Q33" s="885"/>
      <c r="R33" s="1026"/>
      <c r="S33" s="885"/>
      <c r="T33" s="1026"/>
      <c r="U33" s="885"/>
      <c r="V33" s="1039"/>
    </row>
    <row r="34" spans="1:22" ht="54.75" customHeight="1">
      <c r="A34" s="1955">
        <f>A32+1</f>
        <v>11</v>
      </c>
      <c r="B34" s="1957" t="s">
        <v>214</v>
      </c>
      <c r="C34" s="875" t="s">
        <v>729</v>
      </c>
      <c r="D34" s="876" t="s">
        <v>1151</v>
      </c>
      <c r="E34" s="877"/>
      <c r="F34" s="1025"/>
      <c r="G34" s="877"/>
      <c r="H34" s="1025"/>
      <c r="I34" s="878">
        <v>2.5115740740740735E-4</v>
      </c>
      <c r="J34" s="1025">
        <v>2.8935185185185189E-4</v>
      </c>
      <c r="K34" s="878">
        <v>2.6736111111111112E-4</v>
      </c>
      <c r="L34" s="1025">
        <v>3.078703703703704E-4</v>
      </c>
      <c r="M34" s="878">
        <v>2.8935185185185189E-4</v>
      </c>
      <c r="N34" s="1025">
        <v>3.2986111111111107E-4</v>
      </c>
      <c r="O34" s="878">
        <v>3.1018518518518521E-4</v>
      </c>
      <c r="P34" s="1025">
        <v>3.5648148148148149E-4</v>
      </c>
      <c r="Q34" s="879">
        <v>3.4490740740740743E-4</v>
      </c>
      <c r="R34" s="1025">
        <v>3.8773148148148152E-4</v>
      </c>
      <c r="S34" s="878">
        <v>3.7499999999999995E-4</v>
      </c>
      <c r="T34" s="1025">
        <v>4.2476851851851855E-4</v>
      </c>
      <c r="U34" s="886" t="s">
        <v>808</v>
      </c>
      <c r="V34" s="1036">
        <v>4.6064814814814818E-4</v>
      </c>
    </row>
    <row r="35" spans="1:22" ht="56.25" customHeight="1" thickBot="1">
      <c r="A35" s="1956"/>
      <c r="B35" s="1958"/>
      <c r="C35" s="880" t="s">
        <v>730</v>
      </c>
      <c r="D35" s="881" t="s">
        <v>1151</v>
      </c>
      <c r="E35" s="882" t="s">
        <v>809</v>
      </c>
      <c r="F35" s="1026" t="s">
        <v>810</v>
      </c>
      <c r="G35" s="883" t="s">
        <v>811</v>
      </c>
      <c r="H35" s="1026" t="s">
        <v>812</v>
      </c>
      <c r="I35" s="883" t="s">
        <v>813</v>
      </c>
      <c r="J35" s="1026" t="s">
        <v>814</v>
      </c>
      <c r="K35" s="884" t="s">
        <v>815</v>
      </c>
      <c r="L35" s="1026" t="s">
        <v>816</v>
      </c>
      <c r="M35" s="883" t="s">
        <v>814</v>
      </c>
      <c r="N35" s="1026" t="s">
        <v>817</v>
      </c>
      <c r="O35" s="883" t="s">
        <v>818</v>
      </c>
      <c r="P35" s="1026" t="s">
        <v>819</v>
      </c>
      <c r="Q35" s="884" t="s">
        <v>1167</v>
      </c>
      <c r="R35" s="1026" t="s">
        <v>1168</v>
      </c>
      <c r="S35" s="884" t="s">
        <v>1169</v>
      </c>
      <c r="T35" s="1026" t="s">
        <v>1170</v>
      </c>
      <c r="U35" s="884" t="s">
        <v>1171</v>
      </c>
      <c r="V35" s="1039" t="s">
        <v>857</v>
      </c>
    </row>
    <row r="36" spans="1:22" ht="55.5" customHeight="1">
      <c r="A36" s="1955">
        <f>A34+1</f>
        <v>12</v>
      </c>
      <c r="B36" s="1957" t="s">
        <v>820</v>
      </c>
      <c r="C36" s="875" t="s">
        <v>729</v>
      </c>
      <c r="D36" s="876" t="s">
        <v>1151</v>
      </c>
      <c r="E36" s="877"/>
      <c r="F36" s="1025"/>
      <c r="G36" s="877"/>
      <c r="H36" s="1025"/>
      <c r="I36" s="879">
        <v>5.5671296296296296E-4</v>
      </c>
      <c r="J36" s="1025">
        <v>6.2268518518518521E-4</v>
      </c>
      <c r="K36" s="878">
        <v>5.9606481481481479E-4</v>
      </c>
      <c r="L36" s="1025">
        <v>6.6666666666666664E-4</v>
      </c>
      <c r="M36" s="878">
        <v>6.4814814814814813E-4</v>
      </c>
      <c r="N36" s="1025">
        <v>7.175925925925927E-4</v>
      </c>
      <c r="O36" s="878">
        <v>7.0023148148148147E-4</v>
      </c>
      <c r="P36" s="1025">
        <v>7.8703703703703705E-4</v>
      </c>
      <c r="Q36" s="878">
        <v>7.6388888888888893E-4</v>
      </c>
      <c r="R36" s="1025">
        <v>8.5069444444444461E-4</v>
      </c>
      <c r="S36" s="878">
        <v>8.3333333333333339E-4</v>
      </c>
      <c r="T36" s="1025">
        <v>9.2129629629629636E-4</v>
      </c>
      <c r="U36" s="878">
        <v>9.0856481481481485E-4</v>
      </c>
      <c r="V36" s="1036">
        <v>9.9537037037037042E-4</v>
      </c>
    </row>
    <row r="37" spans="1:22" ht="57" customHeight="1" thickBot="1">
      <c r="A37" s="1956"/>
      <c r="B37" s="1958"/>
      <c r="C37" s="880" t="s">
        <v>730</v>
      </c>
      <c r="D37" s="881" t="s">
        <v>1151</v>
      </c>
      <c r="E37" s="882" t="s">
        <v>821</v>
      </c>
      <c r="F37" s="1026" t="s">
        <v>768</v>
      </c>
      <c r="G37" s="883" t="s">
        <v>822</v>
      </c>
      <c r="H37" s="1026" t="s">
        <v>823</v>
      </c>
      <c r="I37" s="883" t="s">
        <v>824</v>
      </c>
      <c r="J37" s="1026" t="s">
        <v>825</v>
      </c>
      <c r="K37" s="884" t="s">
        <v>826</v>
      </c>
      <c r="L37" s="1026" t="s">
        <v>827</v>
      </c>
      <c r="M37" s="883" t="s">
        <v>828</v>
      </c>
      <c r="N37" s="1026" t="s">
        <v>829</v>
      </c>
      <c r="O37" s="883" t="s">
        <v>830</v>
      </c>
      <c r="P37" s="1026" t="s">
        <v>831</v>
      </c>
      <c r="Q37" s="884" t="s">
        <v>1172</v>
      </c>
      <c r="R37" s="1026" t="s">
        <v>1173</v>
      </c>
      <c r="S37" s="884" t="s">
        <v>1174</v>
      </c>
      <c r="T37" s="1026" t="s">
        <v>1175</v>
      </c>
      <c r="U37" s="884" t="s">
        <v>1176</v>
      </c>
      <c r="V37" s="1039" t="s">
        <v>1177</v>
      </c>
    </row>
    <row r="38" spans="1:22" ht="53.25" customHeight="1">
      <c r="A38" s="1955">
        <f>A36+1</f>
        <v>13</v>
      </c>
      <c r="B38" s="1957" t="s">
        <v>832</v>
      </c>
      <c r="C38" s="875" t="s">
        <v>729</v>
      </c>
      <c r="D38" s="876" t="s">
        <v>1151</v>
      </c>
      <c r="E38" s="877"/>
      <c r="F38" s="1025"/>
      <c r="G38" s="877"/>
      <c r="H38" s="1025"/>
      <c r="I38" s="878">
        <v>1.25E-3</v>
      </c>
      <c r="J38" s="1025">
        <v>1.3842592592592593E-3</v>
      </c>
      <c r="K38" s="878">
        <v>1.3402777777777777E-3</v>
      </c>
      <c r="L38" s="1025">
        <v>1.486111111111111E-3</v>
      </c>
      <c r="M38" s="878">
        <v>1.4467592592592594E-3</v>
      </c>
      <c r="N38" s="1025">
        <v>1.5914351851851851E-3</v>
      </c>
      <c r="O38" s="878">
        <v>1.5740740740740741E-3</v>
      </c>
      <c r="P38" s="1025">
        <v>1.7303240740740742E-3</v>
      </c>
      <c r="Q38" s="878">
        <v>1.71875E-3</v>
      </c>
      <c r="R38" s="1025">
        <v>1.8981481481481482E-3</v>
      </c>
      <c r="S38" s="878">
        <v>1.8750000000000001E-3</v>
      </c>
      <c r="T38" s="1025">
        <v>2.0659722222222221E-3</v>
      </c>
      <c r="U38" s="878">
        <v>2.0254629629629629E-3</v>
      </c>
      <c r="V38" s="1036">
        <v>2.2222222222222222E-3</v>
      </c>
    </row>
    <row r="39" spans="1:22" ht="53.25" customHeight="1" thickBot="1">
      <c r="A39" s="1956"/>
      <c r="B39" s="1958"/>
      <c r="C39" s="880" t="s">
        <v>730</v>
      </c>
      <c r="D39" s="881" t="s">
        <v>1151</v>
      </c>
      <c r="E39" s="882" t="s">
        <v>833</v>
      </c>
      <c r="F39" s="1026" t="s">
        <v>834</v>
      </c>
      <c r="G39" s="883" t="s">
        <v>835</v>
      </c>
      <c r="H39" s="1026" t="s">
        <v>836</v>
      </c>
      <c r="I39" s="883" t="s">
        <v>837</v>
      </c>
      <c r="J39" s="1026" t="s">
        <v>838</v>
      </c>
      <c r="K39" s="884" t="s">
        <v>839</v>
      </c>
      <c r="L39" s="1026" t="s">
        <v>840</v>
      </c>
      <c r="M39" s="883" t="s">
        <v>841</v>
      </c>
      <c r="N39" s="1026" t="s">
        <v>842</v>
      </c>
      <c r="O39" s="883" t="s">
        <v>780</v>
      </c>
      <c r="P39" s="1026" t="s">
        <v>843</v>
      </c>
      <c r="Q39" s="884" t="s">
        <v>1178</v>
      </c>
      <c r="R39" s="1026" t="s">
        <v>1179</v>
      </c>
      <c r="S39" s="884" t="s">
        <v>1180</v>
      </c>
      <c r="T39" s="1026" t="s">
        <v>1181</v>
      </c>
      <c r="U39" s="884" t="s">
        <v>1155</v>
      </c>
      <c r="V39" s="1039" t="s">
        <v>1182</v>
      </c>
    </row>
    <row r="40" spans="1:22" ht="54.75" customHeight="1">
      <c r="A40" s="1955">
        <f>A38+1</f>
        <v>14</v>
      </c>
      <c r="B40" s="1957" t="s">
        <v>1183</v>
      </c>
      <c r="C40" s="875" t="s">
        <v>729</v>
      </c>
      <c r="D40" s="876" t="s">
        <v>1151</v>
      </c>
      <c r="E40" s="887"/>
      <c r="F40" s="1027"/>
      <c r="G40" s="887"/>
      <c r="H40" s="1027"/>
      <c r="I40" s="886" t="s">
        <v>1184</v>
      </c>
      <c r="J40" s="1027" t="s">
        <v>1185</v>
      </c>
      <c r="K40" s="886" t="s">
        <v>1186</v>
      </c>
      <c r="L40" s="1027" t="s">
        <v>1187</v>
      </c>
      <c r="M40" s="886" t="s">
        <v>1188</v>
      </c>
      <c r="N40" s="1027" t="s">
        <v>1189</v>
      </c>
      <c r="O40" s="886" t="s">
        <v>1189</v>
      </c>
      <c r="P40" s="1027" t="s">
        <v>1190</v>
      </c>
      <c r="Q40" s="886" t="s">
        <v>1191</v>
      </c>
      <c r="R40" s="1027" t="s">
        <v>1192</v>
      </c>
      <c r="S40" s="886" t="s">
        <v>1193</v>
      </c>
      <c r="T40" s="1027" t="s">
        <v>1194</v>
      </c>
      <c r="U40" s="886" t="s">
        <v>1195</v>
      </c>
      <c r="V40" s="1040" t="s">
        <v>1196</v>
      </c>
    </row>
    <row r="41" spans="1:22" ht="56.25" customHeight="1" thickBot="1">
      <c r="A41" s="1956"/>
      <c r="B41" s="1958"/>
      <c r="C41" s="880" t="s">
        <v>730</v>
      </c>
      <c r="D41" s="881" t="s">
        <v>1151</v>
      </c>
      <c r="E41" s="882" t="s">
        <v>1197</v>
      </c>
      <c r="F41" s="1026" t="s">
        <v>1198</v>
      </c>
      <c r="G41" s="883" t="s">
        <v>1199</v>
      </c>
      <c r="H41" s="1026" t="s">
        <v>1200</v>
      </c>
      <c r="I41" s="883" t="s">
        <v>1201</v>
      </c>
      <c r="J41" s="1026" t="s">
        <v>945</v>
      </c>
      <c r="K41" s="884" t="s">
        <v>787</v>
      </c>
      <c r="L41" s="1026" t="s">
        <v>1202</v>
      </c>
      <c r="M41" s="883" t="s">
        <v>1203</v>
      </c>
      <c r="N41" s="1026" t="s">
        <v>1204</v>
      </c>
      <c r="O41" s="883" t="s">
        <v>1204</v>
      </c>
      <c r="P41" s="1026" t="s">
        <v>1205</v>
      </c>
      <c r="Q41" s="884" t="s">
        <v>1206</v>
      </c>
      <c r="R41" s="1026" t="s">
        <v>1207</v>
      </c>
      <c r="S41" s="884" t="s">
        <v>1208</v>
      </c>
      <c r="T41" s="1026" t="s">
        <v>1209</v>
      </c>
      <c r="U41" s="884" t="s">
        <v>1210</v>
      </c>
      <c r="V41" s="1039" t="s">
        <v>1211</v>
      </c>
    </row>
    <row r="42" spans="1:22" ht="101.25" customHeight="1">
      <c r="A42" s="1955">
        <f>A40+1</f>
        <v>15</v>
      </c>
      <c r="B42" s="1957" t="s">
        <v>1212</v>
      </c>
      <c r="C42" s="875" t="s">
        <v>729</v>
      </c>
      <c r="D42" s="876" t="s">
        <v>1151</v>
      </c>
      <c r="E42" s="877"/>
      <c r="F42" s="1025"/>
      <c r="G42" s="877"/>
      <c r="H42" s="1025"/>
      <c r="I42" s="879">
        <v>5.5671296296296296E-4</v>
      </c>
      <c r="J42" s="1025">
        <v>6.2268518518518521E-4</v>
      </c>
      <c r="K42" s="878">
        <v>5.9606481481481479E-4</v>
      </c>
      <c r="L42" s="1025">
        <v>6.6666666666666664E-4</v>
      </c>
      <c r="M42" s="878">
        <v>6.4814814814814813E-4</v>
      </c>
      <c r="N42" s="1025">
        <v>7.175925925925927E-4</v>
      </c>
      <c r="O42" s="878">
        <v>7.0023148148148147E-4</v>
      </c>
      <c r="P42" s="1025">
        <v>7.8703703703703705E-4</v>
      </c>
      <c r="Q42" s="878">
        <v>7.6388888888888893E-4</v>
      </c>
      <c r="R42" s="1025">
        <v>8.5069444444444461E-4</v>
      </c>
      <c r="S42" s="878">
        <v>8.3333333333333339E-4</v>
      </c>
      <c r="T42" s="1025">
        <v>9.2129629629629636E-4</v>
      </c>
      <c r="U42" s="878">
        <v>9.0856481481481485E-4</v>
      </c>
      <c r="V42" s="1036">
        <v>9.9537037037037042E-4</v>
      </c>
    </row>
    <row r="43" spans="1:22" ht="101.25" customHeight="1" thickBot="1">
      <c r="A43" s="1956"/>
      <c r="B43" s="1958"/>
      <c r="C43" s="880" t="s">
        <v>730</v>
      </c>
      <c r="D43" s="881" t="s">
        <v>1151</v>
      </c>
      <c r="E43" s="882" t="s">
        <v>821</v>
      </c>
      <c r="F43" s="1026" t="s">
        <v>768</v>
      </c>
      <c r="G43" s="883" t="s">
        <v>822</v>
      </c>
      <c r="H43" s="1026" t="s">
        <v>823</v>
      </c>
      <c r="I43" s="883" t="s">
        <v>824</v>
      </c>
      <c r="J43" s="1026" t="s">
        <v>825</v>
      </c>
      <c r="K43" s="884" t="s">
        <v>826</v>
      </c>
      <c r="L43" s="1026" t="s">
        <v>827</v>
      </c>
      <c r="M43" s="883" t="s">
        <v>828</v>
      </c>
      <c r="N43" s="1026" t="s">
        <v>829</v>
      </c>
      <c r="O43" s="883" t="s">
        <v>830</v>
      </c>
      <c r="P43" s="1026" t="s">
        <v>831</v>
      </c>
      <c r="Q43" s="884" t="s">
        <v>1172</v>
      </c>
      <c r="R43" s="1026" t="s">
        <v>1173</v>
      </c>
      <c r="S43" s="884" t="s">
        <v>1174</v>
      </c>
      <c r="T43" s="1026" t="s">
        <v>1175</v>
      </c>
      <c r="U43" s="884" t="s">
        <v>1176</v>
      </c>
      <c r="V43" s="1039" t="s">
        <v>1177</v>
      </c>
    </row>
    <row r="44" spans="1:22" ht="53.25" customHeight="1">
      <c r="A44" s="1955">
        <f>A42+1</f>
        <v>16</v>
      </c>
      <c r="B44" s="1957" t="s">
        <v>187</v>
      </c>
      <c r="C44" s="875" t="s">
        <v>729</v>
      </c>
      <c r="D44" s="876" t="s">
        <v>1151</v>
      </c>
      <c r="E44" s="877"/>
      <c r="F44" s="1025"/>
      <c r="G44" s="877"/>
      <c r="H44" s="1025"/>
      <c r="I44" s="878">
        <v>2.0370370370370369E-4</v>
      </c>
      <c r="J44" s="1025">
        <v>2.2800925925925926E-4</v>
      </c>
      <c r="K44" s="878">
        <v>2.1412037037037038E-4</v>
      </c>
      <c r="L44" s="1025">
        <v>2.4421296296296295E-4</v>
      </c>
      <c r="M44" s="878">
        <v>2.3263888888888889E-4</v>
      </c>
      <c r="N44" s="1025">
        <v>2.6504629629629626E-4</v>
      </c>
      <c r="O44" s="878">
        <v>2.5347222222222221E-4</v>
      </c>
      <c r="P44" s="1025">
        <v>2.8703703703703703E-4</v>
      </c>
      <c r="Q44" s="886" t="s">
        <v>188</v>
      </c>
      <c r="R44" s="1027" t="s">
        <v>189</v>
      </c>
      <c r="S44" s="886" t="s">
        <v>190</v>
      </c>
      <c r="T44" s="1027" t="s">
        <v>191</v>
      </c>
      <c r="U44" s="886" t="s">
        <v>192</v>
      </c>
      <c r="V44" s="1040" t="s">
        <v>193</v>
      </c>
    </row>
    <row r="45" spans="1:22" ht="53.25" customHeight="1" thickBot="1">
      <c r="A45" s="1956"/>
      <c r="B45" s="1958"/>
      <c r="C45" s="880" t="s">
        <v>730</v>
      </c>
      <c r="D45" s="881" t="s">
        <v>1151</v>
      </c>
      <c r="E45" s="882" t="s">
        <v>844</v>
      </c>
      <c r="F45" s="1026" t="s">
        <v>845</v>
      </c>
      <c r="G45" s="883" t="s">
        <v>846</v>
      </c>
      <c r="H45" s="1026" t="s">
        <v>847</v>
      </c>
      <c r="I45" s="883" t="s">
        <v>848</v>
      </c>
      <c r="J45" s="1026" t="s">
        <v>849</v>
      </c>
      <c r="K45" s="884" t="s">
        <v>850</v>
      </c>
      <c r="L45" s="1026" t="s">
        <v>739</v>
      </c>
      <c r="M45" s="883" t="s">
        <v>851</v>
      </c>
      <c r="N45" s="1026" t="s">
        <v>741</v>
      </c>
      <c r="O45" s="883" t="s">
        <v>852</v>
      </c>
      <c r="P45" s="1026" t="s">
        <v>853</v>
      </c>
      <c r="Q45" s="884" t="s">
        <v>1213</v>
      </c>
      <c r="R45" s="1026" t="s">
        <v>1214</v>
      </c>
      <c r="S45" s="884" t="s">
        <v>1215</v>
      </c>
      <c r="T45" s="1026" t="s">
        <v>1216</v>
      </c>
      <c r="U45" s="884" t="s">
        <v>1217</v>
      </c>
      <c r="V45" s="1039" t="s">
        <v>1169</v>
      </c>
    </row>
    <row r="46" spans="1:22" ht="55.5" customHeight="1">
      <c r="A46" s="1955">
        <f>A44+1</f>
        <v>17</v>
      </c>
      <c r="B46" s="1957" t="s">
        <v>194</v>
      </c>
      <c r="C46" s="875" t="s">
        <v>729</v>
      </c>
      <c r="D46" s="876" t="s">
        <v>1151</v>
      </c>
      <c r="E46" s="877"/>
      <c r="F46" s="1025"/>
      <c r="G46" s="877"/>
      <c r="H46" s="1025"/>
      <c r="I46" s="878">
        <v>4.5601851851851852E-4</v>
      </c>
      <c r="J46" s="1025">
        <v>5.0694444444444441E-4</v>
      </c>
      <c r="K46" s="878">
        <v>4.895833333333333E-4</v>
      </c>
      <c r="L46" s="1025">
        <v>5.4398148148148144E-4</v>
      </c>
      <c r="M46" s="878">
        <v>5.3125000000000004E-4</v>
      </c>
      <c r="N46" s="1025">
        <v>5.9027777777777778E-4</v>
      </c>
      <c r="O46" s="878">
        <v>5.7638888888888887E-4</v>
      </c>
      <c r="P46" s="1025">
        <v>6.3888888888888893E-4</v>
      </c>
      <c r="Q46" s="886" t="s">
        <v>195</v>
      </c>
      <c r="R46" s="1027" t="s">
        <v>854</v>
      </c>
      <c r="S46" s="886" t="s">
        <v>196</v>
      </c>
      <c r="T46" s="1027" t="s">
        <v>855</v>
      </c>
      <c r="U46" s="886" t="s">
        <v>197</v>
      </c>
      <c r="V46" s="1036">
        <v>8.1481481481481476E-4</v>
      </c>
    </row>
    <row r="47" spans="1:22" ht="55.5" customHeight="1" thickBot="1">
      <c r="A47" s="1956"/>
      <c r="B47" s="1958"/>
      <c r="C47" s="880" t="s">
        <v>730</v>
      </c>
      <c r="D47" s="881" t="s">
        <v>1151</v>
      </c>
      <c r="E47" s="882" t="s">
        <v>856</v>
      </c>
      <c r="F47" s="1026" t="s">
        <v>857</v>
      </c>
      <c r="G47" s="883" t="s">
        <v>858</v>
      </c>
      <c r="H47" s="1026" t="s">
        <v>859</v>
      </c>
      <c r="I47" s="883" t="s">
        <v>860</v>
      </c>
      <c r="J47" s="1026" t="s">
        <v>821</v>
      </c>
      <c r="K47" s="884" t="s">
        <v>861</v>
      </c>
      <c r="L47" s="1026" t="s">
        <v>862</v>
      </c>
      <c r="M47" s="883" t="s">
        <v>863</v>
      </c>
      <c r="N47" s="1026" t="s">
        <v>864</v>
      </c>
      <c r="O47" s="883" t="s">
        <v>865</v>
      </c>
      <c r="P47" s="1026" t="s">
        <v>866</v>
      </c>
      <c r="Q47" s="884" t="s">
        <v>1218</v>
      </c>
      <c r="R47" s="1026" t="s">
        <v>1219</v>
      </c>
      <c r="S47" s="884" t="s">
        <v>1220</v>
      </c>
      <c r="T47" s="1026" t="s">
        <v>1221</v>
      </c>
      <c r="U47" s="884" t="s">
        <v>1222</v>
      </c>
      <c r="V47" s="1039" t="s">
        <v>1223</v>
      </c>
    </row>
    <row r="48" spans="1:22" ht="54.75" customHeight="1">
      <c r="A48" s="1955">
        <f>A46+1</f>
        <v>18</v>
      </c>
      <c r="B48" s="1957" t="s">
        <v>198</v>
      </c>
      <c r="C48" s="875" t="s">
        <v>729</v>
      </c>
      <c r="D48" s="876" t="s">
        <v>1151</v>
      </c>
      <c r="E48" s="877"/>
      <c r="F48" s="1025"/>
      <c r="G48" s="877"/>
      <c r="H48" s="1025"/>
      <c r="I48" s="878">
        <v>1.0590277777777777E-3</v>
      </c>
      <c r="J48" s="1025">
        <v>1.1689814814814816E-3</v>
      </c>
      <c r="K48" s="878">
        <v>1.1342592592592591E-3</v>
      </c>
      <c r="L48" s="1025">
        <v>1.2442129629629628E-3</v>
      </c>
      <c r="M48" s="878">
        <v>1.2384259259259258E-3</v>
      </c>
      <c r="N48" s="1025">
        <v>1.3599537037037037E-3</v>
      </c>
      <c r="O48" s="878">
        <v>1.3368055555555555E-3</v>
      </c>
      <c r="P48" s="1025">
        <v>1.4606481481481482E-3</v>
      </c>
      <c r="Q48" s="886" t="s">
        <v>199</v>
      </c>
      <c r="R48" s="1027" t="s">
        <v>867</v>
      </c>
      <c r="S48" s="886" t="s">
        <v>200</v>
      </c>
      <c r="T48" s="1027" t="s">
        <v>868</v>
      </c>
      <c r="U48" s="886" t="s">
        <v>201</v>
      </c>
      <c r="V48" s="1040" t="s">
        <v>869</v>
      </c>
    </row>
    <row r="49" spans="1:22" ht="54.75" customHeight="1" thickBot="1">
      <c r="A49" s="1956"/>
      <c r="B49" s="1958"/>
      <c r="C49" s="880" t="s">
        <v>730</v>
      </c>
      <c r="D49" s="881" t="s">
        <v>1151</v>
      </c>
      <c r="E49" s="882" t="s">
        <v>870</v>
      </c>
      <c r="F49" s="1026" t="s">
        <v>871</v>
      </c>
      <c r="G49" s="883" t="s">
        <v>872</v>
      </c>
      <c r="H49" s="1026" t="s">
        <v>873</v>
      </c>
      <c r="I49" s="883" t="s">
        <v>874</v>
      </c>
      <c r="J49" s="1026" t="s">
        <v>875</v>
      </c>
      <c r="K49" s="884" t="s">
        <v>876</v>
      </c>
      <c r="L49" s="1026" t="s">
        <v>877</v>
      </c>
      <c r="M49" s="883" t="s">
        <v>878</v>
      </c>
      <c r="N49" s="1026" t="s">
        <v>879</v>
      </c>
      <c r="O49" s="883" t="s">
        <v>880</v>
      </c>
      <c r="P49" s="1026" t="s">
        <v>881</v>
      </c>
      <c r="Q49" s="884" t="s">
        <v>778</v>
      </c>
      <c r="R49" s="1026" t="s">
        <v>1224</v>
      </c>
      <c r="S49" s="884" t="s">
        <v>1225</v>
      </c>
      <c r="T49" s="1026" t="s">
        <v>1226</v>
      </c>
      <c r="U49" s="884" t="s">
        <v>1227</v>
      </c>
      <c r="V49" s="1039" t="s">
        <v>1228</v>
      </c>
    </row>
    <row r="50" spans="1:22" ht="54.75" customHeight="1">
      <c r="A50" s="1955">
        <f>A48+1</f>
        <v>19</v>
      </c>
      <c r="B50" s="1957" t="s">
        <v>202</v>
      </c>
      <c r="C50" s="875" t="s">
        <v>729</v>
      </c>
      <c r="D50" s="876" t="s">
        <v>1151</v>
      </c>
      <c r="E50" s="877"/>
      <c r="F50" s="1025"/>
      <c r="G50" s="877"/>
      <c r="H50" s="1025"/>
      <c r="I50" s="878">
        <v>2.3379629629629631E-3</v>
      </c>
      <c r="J50" s="1025">
        <v>2.5300925925925929E-3</v>
      </c>
      <c r="K50" s="878">
        <v>2.5092592592592593E-3</v>
      </c>
      <c r="L50" s="1025">
        <v>2.7222222222222218E-3</v>
      </c>
      <c r="M50" s="878">
        <v>2.7175925925925926E-3</v>
      </c>
      <c r="N50" s="1025">
        <v>2.9328703703703704E-3</v>
      </c>
      <c r="O50" s="878">
        <v>2.9259259259259256E-3</v>
      </c>
      <c r="P50" s="1025">
        <v>3.1597222222222222E-3</v>
      </c>
      <c r="Q50" s="886" t="s">
        <v>203</v>
      </c>
      <c r="R50" s="1027" t="s">
        <v>882</v>
      </c>
      <c r="S50" s="886" t="s">
        <v>204</v>
      </c>
      <c r="T50" s="1027" t="s">
        <v>883</v>
      </c>
      <c r="U50" s="886" t="s">
        <v>205</v>
      </c>
      <c r="V50" s="1040" t="s">
        <v>884</v>
      </c>
    </row>
    <row r="51" spans="1:22" ht="54.75" customHeight="1" thickBot="1">
      <c r="A51" s="1956"/>
      <c r="B51" s="1958"/>
      <c r="C51" s="880" t="s">
        <v>730</v>
      </c>
      <c r="D51" s="881" t="s">
        <v>1151</v>
      </c>
      <c r="E51" s="882" t="s">
        <v>885</v>
      </c>
      <c r="F51" s="1026" t="s">
        <v>886</v>
      </c>
      <c r="G51" s="883" t="s">
        <v>887</v>
      </c>
      <c r="H51" s="1026" t="s">
        <v>888</v>
      </c>
      <c r="I51" s="883" t="s">
        <v>889</v>
      </c>
      <c r="J51" s="1026" t="s">
        <v>890</v>
      </c>
      <c r="K51" s="884" t="s">
        <v>891</v>
      </c>
      <c r="L51" s="1026" t="s">
        <v>892</v>
      </c>
      <c r="M51" s="883" t="s">
        <v>893</v>
      </c>
      <c r="N51" s="1026" t="s">
        <v>894</v>
      </c>
      <c r="O51" s="883" t="s">
        <v>895</v>
      </c>
      <c r="P51" s="1026" t="s">
        <v>896</v>
      </c>
      <c r="Q51" s="884" t="s">
        <v>1229</v>
      </c>
      <c r="R51" s="1026" t="s">
        <v>794</v>
      </c>
      <c r="S51" s="884" t="s">
        <v>1230</v>
      </c>
      <c r="T51" s="1026" t="s">
        <v>1231</v>
      </c>
      <c r="U51" s="884" t="s">
        <v>1232</v>
      </c>
      <c r="V51" s="1039" t="s">
        <v>1159</v>
      </c>
    </row>
    <row r="52" spans="1:22" ht="76.5" customHeight="1">
      <c r="A52" s="1955">
        <f>A50+1</f>
        <v>20</v>
      </c>
      <c r="B52" s="1957" t="s">
        <v>206</v>
      </c>
      <c r="C52" s="875" t="s">
        <v>729</v>
      </c>
      <c r="D52" s="876" t="s">
        <v>1151</v>
      </c>
      <c r="E52" s="877"/>
      <c r="F52" s="1025"/>
      <c r="G52" s="877"/>
      <c r="H52" s="1025"/>
      <c r="I52" s="878">
        <v>5.0289351851851849E-3</v>
      </c>
      <c r="J52" s="1025">
        <v>5.4166666666666669E-3</v>
      </c>
      <c r="K52" s="878">
        <v>5.2777777777777771E-3</v>
      </c>
      <c r="L52" s="1025">
        <v>5.7928240740740744E-3</v>
      </c>
      <c r="M52" s="878">
        <v>5.8449074074074072E-3</v>
      </c>
      <c r="N52" s="1025">
        <v>6.2789351851851851E-3</v>
      </c>
      <c r="O52" s="878">
        <v>6.3101851851851852E-3</v>
      </c>
      <c r="P52" s="1025">
        <v>6.7650462962962968E-3</v>
      </c>
      <c r="Q52" s="878">
        <v>6.8865740740740736E-3</v>
      </c>
      <c r="R52" s="1025">
        <v>7.3900462962962973E-3</v>
      </c>
      <c r="S52" s="878">
        <v>7.5694444444444446E-3</v>
      </c>
      <c r="T52" s="1025">
        <v>8.1249999999999985E-3</v>
      </c>
      <c r="U52" s="878">
        <v>8.2233796296296308E-3</v>
      </c>
      <c r="V52" s="1036">
        <v>8.7557870370370359E-3</v>
      </c>
    </row>
    <row r="53" spans="1:22" ht="70.5" customHeight="1" thickBot="1">
      <c r="A53" s="1956"/>
      <c r="B53" s="1958"/>
      <c r="C53" s="880" t="s">
        <v>730</v>
      </c>
      <c r="D53" s="881" t="s">
        <v>1151</v>
      </c>
      <c r="E53" s="882" t="s">
        <v>897</v>
      </c>
      <c r="F53" s="1026" t="s">
        <v>898</v>
      </c>
      <c r="G53" s="883" t="s">
        <v>899</v>
      </c>
      <c r="H53" s="1026" t="s">
        <v>900</v>
      </c>
      <c r="I53" s="883" t="s">
        <v>901</v>
      </c>
      <c r="J53" s="1026" t="s">
        <v>902</v>
      </c>
      <c r="K53" s="884" t="s">
        <v>903</v>
      </c>
      <c r="L53" s="1026" t="s">
        <v>904</v>
      </c>
      <c r="M53" s="883" t="s">
        <v>905</v>
      </c>
      <c r="N53" s="1026" t="s">
        <v>906</v>
      </c>
      <c r="O53" s="883" t="s">
        <v>907</v>
      </c>
      <c r="P53" s="1026" t="s">
        <v>908</v>
      </c>
      <c r="Q53" s="884" t="s">
        <v>1233</v>
      </c>
      <c r="R53" s="1026" t="s">
        <v>1234</v>
      </c>
      <c r="S53" s="884" t="s">
        <v>1235</v>
      </c>
      <c r="T53" s="1026" t="s">
        <v>1236</v>
      </c>
      <c r="U53" s="884" t="s">
        <v>1237</v>
      </c>
      <c r="V53" s="1039" t="s">
        <v>1238</v>
      </c>
    </row>
    <row r="54" spans="1:22" ht="76.5" customHeight="1">
      <c r="A54" s="1955">
        <f>A52+1</f>
        <v>21</v>
      </c>
      <c r="B54" s="1957" t="s">
        <v>909</v>
      </c>
      <c r="C54" s="875" t="s">
        <v>729</v>
      </c>
      <c r="D54" s="876" t="s">
        <v>1151</v>
      </c>
      <c r="E54" s="877"/>
      <c r="F54" s="1025"/>
      <c r="G54" s="877"/>
      <c r="H54" s="1025"/>
      <c r="I54" s="878">
        <v>9.6990740740740735E-3</v>
      </c>
      <c r="J54" s="1025">
        <v>1.0399305555555556E-2</v>
      </c>
      <c r="K54" s="879">
        <v>1.0329861111111111E-2</v>
      </c>
      <c r="L54" s="1025">
        <v>1.1111111111111112E-2</v>
      </c>
      <c r="M54" s="878">
        <v>1.1284722222222222E-2</v>
      </c>
      <c r="N54" s="1025">
        <v>1.208912037037037E-2</v>
      </c>
      <c r="O54" s="878">
        <v>1.2187500000000002E-2</v>
      </c>
      <c r="P54" s="1025">
        <v>1.3078703703703703E-2</v>
      </c>
      <c r="Q54" s="887"/>
      <c r="R54" s="1027"/>
      <c r="S54" s="887"/>
      <c r="T54" s="1027"/>
      <c r="U54" s="887"/>
      <c r="V54" s="1040"/>
    </row>
    <row r="55" spans="1:22" ht="72.95" customHeight="1" thickBot="1">
      <c r="A55" s="1956"/>
      <c r="B55" s="1958"/>
      <c r="C55" s="880" t="s">
        <v>730</v>
      </c>
      <c r="D55" s="881" t="s">
        <v>1151</v>
      </c>
      <c r="E55" s="882" t="s">
        <v>910</v>
      </c>
      <c r="F55" s="1026" t="s">
        <v>911</v>
      </c>
      <c r="G55" s="883" t="s">
        <v>912</v>
      </c>
      <c r="H55" s="1026" t="s">
        <v>913</v>
      </c>
      <c r="I55" s="883" t="s">
        <v>914</v>
      </c>
      <c r="J55" s="1026" t="s">
        <v>915</v>
      </c>
      <c r="K55" s="884" t="s">
        <v>916</v>
      </c>
      <c r="L55" s="1026" t="s">
        <v>917</v>
      </c>
      <c r="M55" s="883" t="s">
        <v>918</v>
      </c>
      <c r="N55" s="1026" t="s">
        <v>919</v>
      </c>
      <c r="O55" s="883" t="s">
        <v>920</v>
      </c>
      <c r="P55" s="1026" t="s">
        <v>921</v>
      </c>
      <c r="Q55" s="885"/>
      <c r="R55" s="1026"/>
      <c r="S55" s="885"/>
      <c r="T55" s="1026"/>
      <c r="U55" s="885"/>
      <c r="V55" s="1039"/>
    </row>
    <row r="56" spans="1:22" ht="90.75" customHeight="1">
      <c r="A56" s="1955">
        <f>A54+1</f>
        <v>22</v>
      </c>
      <c r="B56" s="1957" t="s">
        <v>1239</v>
      </c>
      <c r="C56" s="875" t="s">
        <v>729</v>
      </c>
      <c r="D56" s="876" t="s">
        <v>1151</v>
      </c>
      <c r="E56" s="877"/>
      <c r="F56" s="1025"/>
      <c r="G56" s="877"/>
      <c r="H56" s="1025"/>
      <c r="I56" s="878">
        <v>2.0370370370370369E-4</v>
      </c>
      <c r="J56" s="1025">
        <v>2.2800925925925926E-4</v>
      </c>
      <c r="K56" s="878">
        <v>2.1412037037037038E-4</v>
      </c>
      <c r="L56" s="1025">
        <v>2.4421296296296295E-4</v>
      </c>
      <c r="M56" s="878">
        <v>2.3263888888888889E-4</v>
      </c>
      <c r="N56" s="1025">
        <v>2.6504629629629626E-4</v>
      </c>
      <c r="O56" s="878">
        <v>2.5347222222222221E-4</v>
      </c>
      <c r="P56" s="1025">
        <v>2.8703703703703703E-4</v>
      </c>
      <c r="Q56" s="886" t="s">
        <v>188</v>
      </c>
      <c r="R56" s="1027" t="s">
        <v>189</v>
      </c>
      <c r="S56" s="886" t="s">
        <v>190</v>
      </c>
      <c r="T56" s="1027" t="s">
        <v>191</v>
      </c>
      <c r="U56" s="886" t="s">
        <v>192</v>
      </c>
      <c r="V56" s="1040" t="s">
        <v>193</v>
      </c>
    </row>
    <row r="57" spans="1:22" ht="90.75" customHeight="1" thickBot="1">
      <c r="A57" s="1956"/>
      <c r="B57" s="1958"/>
      <c r="C57" s="880" t="s">
        <v>730</v>
      </c>
      <c r="D57" s="881" t="s">
        <v>1151</v>
      </c>
      <c r="E57" s="882" t="s">
        <v>844</v>
      </c>
      <c r="F57" s="1026" t="s">
        <v>845</v>
      </c>
      <c r="G57" s="883" t="s">
        <v>846</v>
      </c>
      <c r="H57" s="1026" t="s">
        <v>847</v>
      </c>
      <c r="I57" s="883" t="s">
        <v>848</v>
      </c>
      <c r="J57" s="1026" t="s">
        <v>849</v>
      </c>
      <c r="K57" s="884" t="s">
        <v>850</v>
      </c>
      <c r="L57" s="1026" t="s">
        <v>739</v>
      </c>
      <c r="M57" s="883" t="s">
        <v>851</v>
      </c>
      <c r="N57" s="1026" t="s">
        <v>741</v>
      </c>
      <c r="O57" s="883" t="s">
        <v>852</v>
      </c>
      <c r="P57" s="1026" t="s">
        <v>853</v>
      </c>
      <c r="Q57" s="884" t="s">
        <v>1213</v>
      </c>
      <c r="R57" s="1026" t="s">
        <v>1214</v>
      </c>
      <c r="S57" s="884" t="s">
        <v>1215</v>
      </c>
      <c r="T57" s="1026" t="s">
        <v>1216</v>
      </c>
      <c r="U57" s="884" t="s">
        <v>1217</v>
      </c>
      <c r="V57" s="1039" t="s">
        <v>1169</v>
      </c>
    </row>
    <row r="58" spans="1:22" ht="90.75" customHeight="1">
      <c r="A58" s="1955">
        <f>A56+1</f>
        <v>23</v>
      </c>
      <c r="B58" s="1957" t="s">
        <v>922</v>
      </c>
      <c r="C58" s="875" t="s">
        <v>729</v>
      </c>
      <c r="D58" s="876" t="s">
        <v>1151</v>
      </c>
      <c r="E58" s="877"/>
      <c r="F58" s="1025"/>
      <c r="G58" s="877"/>
      <c r="H58" s="1025"/>
      <c r="I58" s="878">
        <v>4.5601851851851852E-4</v>
      </c>
      <c r="J58" s="1025">
        <v>5.0694444444444441E-4</v>
      </c>
      <c r="K58" s="878">
        <v>4.895833333333333E-4</v>
      </c>
      <c r="L58" s="1025">
        <v>5.4398148148148144E-4</v>
      </c>
      <c r="M58" s="878">
        <v>5.3125000000000004E-4</v>
      </c>
      <c r="N58" s="1025">
        <v>5.9027777777777778E-4</v>
      </c>
      <c r="O58" s="878">
        <v>5.7638888888888887E-4</v>
      </c>
      <c r="P58" s="1025">
        <v>6.3888888888888893E-4</v>
      </c>
      <c r="Q58" s="886" t="s">
        <v>195</v>
      </c>
      <c r="R58" s="1027" t="s">
        <v>854</v>
      </c>
      <c r="S58" s="886" t="s">
        <v>196</v>
      </c>
      <c r="T58" s="1027" t="s">
        <v>855</v>
      </c>
      <c r="U58" s="886" t="s">
        <v>197</v>
      </c>
      <c r="V58" s="1036">
        <v>8.1481481481481476E-4</v>
      </c>
    </row>
    <row r="59" spans="1:22" ht="90.75" customHeight="1" thickBot="1">
      <c r="A59" s="1956"/>
      <c r="B59" s="1958"/>
      <c r="C59" s="880" t="s">
        <v>730</v>
      </c>
      <c r="D59" s="881" t="s">
        <v>1151</v>
      </c>
      <c r="E59" s="882" t="s">
        <v>856</v>
      </c>
      <c r="F59" s="1026" t="s">
        <v>857</v>
      </c>
      <c r="G59" s="883" t="s">
        <v>858</v>
      </c>
      <c r="H59" s="1026" t="s">
        <v>859</v>
      </c>
      <c r="I59" s="883" t="s">
        <v>860</v>
      </c>
      <c r="J59" s="1026" t="s">
        <v>821</v>
      </c>
      <c r="K59" s="884" t="s">
        <v>861</v>
      </c>
      <c r="L59" s="1026" t="s">
        <v>862</v>
      </c>
      <c r="M59" s="883" t="s">
        <v>863</v>
      </c>
      <c r="N59" s="1026" t="s">
        <v>864</v>
      </c>
      <c r="O59" s="883" t="s">
        <v>865</v>
      </c>
      <c r="P59" s="1026" t="s">
        <v>866</v>
      </c>
      <c r="Q59" s="884" t="s">
        <v>1218</v>
      </c>
      <c r="R59" s="1026" t="s">
        <v>1219</v>
      </c>
      <c r="S59" s="884" t="s">
        <v>1220</v>
      </c>
      <c r="T59" s="1026" t="s">
        <v>1221</v>
      </c>
      <c r="U59" s="884" t="s">
        <v>1222</v>
      </c>
      <c r="V59" s="1039" t="s">
        <v>1223</v>
      </c>
    </row>
    <row r="60" spans="1:22" ht="90.75" customHeight="1">
      <c r="A60" s="1955">
        <f>A58+1</f>
        <v>24</v>
      </c>
      <c r="B60" s="1957" t="s">
        <v>923</v>
      </c>
      <c r="C60" s="875" t="s">
        <v>729</v>
      </c>
      <c r="D60" s="876" t="s">
        <v>1151</v>
      </c>
      <c r="E60" s="877"/>
      <c r="F60" s="1025"/>
      <c r="G60" s="877"/>
      <c r="H60" s="1025"/>
      <c r="I60" s="878">
        <v>1.0590277777777777E-3</v>
      </c>
      <c r="J60" s="1025">
        <v>1.1689814814814816E-3</v>
      </c>
      <c r="K60" s="878">
        <v>1.1342592592592591E-3</v>
      </c>
      <c r="L60" s="1025">
        <v>1.2442129629629628E-3</v>
      </c>
      <c r="M60" s="878">
        <v>1.2384259259259258E-3</v>
      </c>
      <c r="N60" s="1025">
        <v>1.3599537037037037E-3</v>
      </c>
      <c r="O60" s="878">
        <v>1.3368055555555555E-3</v>
      </c>
      <c r="P60" s="1025">
        <v>1.4606481481481482E-3</v>
      </c>
      <c r="Q60" s="886" t="s">
        <v>199</v>
      </c>
      <c r="R60" s="1027" t="s">
        <v>867</v>
      </c>
      <c r="S60" s="886" t="s">
        <v>200</v>
      </c>
      <c r="T60" s="1027" t="s">
        <v>868</v>
      </c>
      <c r="U60" s="886" t="s">
        <v>201</v>
      </c>
      <c r="V60" s="1040" t="s">
        <v>869</v>
      </c>
    </row>
    <row r="61" spans="1:22" ht="90.75" customHeight="1" thickBot="1">
      <c r="A61" s="1956"/>
      <c r="B61" s="1958"/>
      <c r="C61" s="880" t="s">
        <v>730</v>
      </c>
      <c r="D61" s="881" t="s">
        <v>1151</v>
      </c>
      <c r="E61" s="882" t="s">
        <v>870</v>
      </c>
      <c r="F61" s="1026" t="s">
        <v>871</v>
      </c>
      <c r="G61" s="883" t="s">
        <v>872</v>
      </c>
      <c r="H61" s="1026" t="s">
        <v>873</v>
      </c>
      <c r="I61" s="883" t="s">
        <v>874</v>
      </c>
      <c r="J61" s="1026" t="s">
        <v>875</v>
      </c>
      <c r="K61" s="884" t="s">
        <v>876</v>
      </c>
      <c r="L61" s="1026" t="s">
        <v>877</v>
      </c>
      <c r="M61" s="883" t="s">
        <v>878</v>
      </c>
      <c r="N61" s="1026" t="s">
        <v>879</v>
      </c>
      <c r="O61" s="883" t="s">
        <v>880</v>
      </c>
      <c r="P61" s="1026" t="s">
        <v>881</v>
      </c>
      <c r="Q61" s="884" t="s">
        <v>778</v>
      </c>
      <c r="R61" s="1026" t="s">
        <v>1224</v>
      </c>
      <c r="S61" s="884" t="s">
        <v>1225</v>
      </c>
      <c r="T61" s="1026" t="s">
        <v>1226</v>
      </c>
      <c r="U61" s="884" t="s">
        <v>1227</v>
      </c>
      <c r="V61" s="1039" t="s">
        <v>1228</v>
      </c>
    </row>
    <row r="62" spans="1:22" ht="56.25" customHeight="1" thickBot="1">
      <c r="A62" s="1955">
        <f>A60+1</f>
        <v>25</v>
      </c>
      <c r="B62" s="1957" t="s">
        <v>1240</v>
      </c>
      <c r="C62" s="888" t="s">
        <v>729</v>
      </c>
      <c r="D62" s="870" t="s">
        <v>1151</v>
      </c>
      <c r="E62" s="873"/>
      <c r="F62" s="1028"/>
      <c r="G62" s="873"/>
      <c r="H62" s="1028"/>
      <c r="I62" s="889">
        <v>4.1898148148148155E-4</v>
      </c>
      <c r="J62" s="1028">
        <v>4.5949074074074078E-4</v>
      </c>
      <c r="K62" s="889">
        <v>4.4907407407407401E-4</v>
      </c>
      <c r="L62" s="1028">
        <v>4.9305555555555561E-4</v>
      </c>
      <c r="M62" s="889">
        <v>4.8726851851851855E-4</v>
      </c>
      <c r="N62" s="1028">
        <v>5.3472222222222224E-4</v>
      </c>
      <c r="O62" s="889">
        <v>5.3009259259259253E-4</v>
      </c>
      <c r="P62" s="1028">
        <v>5.8101851851851858E-4</v>
      </c>
      <c r="Q62" s="890" t="s">
        <v>207</v>
      </c>
      <c r="R62" s="1029" t="s">
        <v>208</v>
      </c>
      <c r="S62" s="890" t="s">
        <v>209</v>
      </c>
      <c r="T62" s="1029" t="s">
        <v>210</v>
      </c>
      <c r="U62" s="890" t="s">
        <v>211</v>
      </c>
      <c r="V62" s="1041" t="s">
        <v>212</v>
      </c>
    </row>
    <row r="63" spans="1:22" ht="56.25" customHeight="1" thickBot="1">
      <c r="A63" s="1956"/>
      <c r="B63" s="1958"/>
      <c r="C63" s="888" t="s">
        <v>730</v>
      </c>
      <c r="D63" s="870" t="s">
        <v>1151</v>
      </c>
      <c r="E63" s="891" t="s">
        <v>924</v>
      </c>
      <c r="F63" s="1029" t="s">
        <v>925</v>
      </c>
      <c r="G63" s="890" t="s">
        <v>926</v>
      </c>
      <c r="H63" s="1029" t="s">
        <v>927</v>
      </c>
      <c r="I63" s="890" t="s">
        <v>928</v>
      </c>
      <c r="J63" s="1029" t="s">
        <v>929</v>
      </c>
      <c r="K63" s="892" t="s">
        <v>857</v>
      </c>
      <c r="L63" s="1029" t="s">
        <v>930</v>
      </c>
      <c r="M63" s="890" t="s">
        <v>931</v>
      </c>
      <c r="N63" s="1029" t="s">
        <v>932</v>
      </c>
      <c r="O63" s="890" t="s">
        <v>822</v>
      </c>
      <c r="P63" s="1029" t="s">
        <v>933</v>
      </c>
      <c r="Q63" s="892" t="s">
        <v>933</v>
      </c>
      <c r="R63" s="1029" t="s">
        <v>1241</v>
      </c>
      <c r="S63" s="892" t="s">
        <v>1242</v>
      </c>
      <c r="T63" s="1029" t="s">
        <v>1243</v>
      </c>
      <c r="U63" s="892" t="s">
        <v>1244</v>
      </c>
      <c r="V63" s="1041" t="s">
        <v>1245</v>
      </c>
    </row>
    <row r="64" spans="1:22" ht="54.75" customHeight="1">
      <c r="A64" s="1955">
        <f>A62+1</f>
        <v>26</v>
      </c>
      <c r="B64" s="1957" t="s">
        <v>934</v>
      </c>
      <c r="C64" s="875" t="s">
        <v>729</v>
      </c>
      <c r="D64" s="876" t="s">
        <v>1151</v>
      </c>
      <c r="E64" s="877"/>
      <c r="F64" s="1025"/>
      <c r="G64" s="877"/>
      <c r="H64" s="1025"/>
      <c r="I64" s="893">
        <v>2.1724537037037038E-3</v>
      </c>
      <c r="J64" s="1048">
        <v>2.3495370370370371E-3</v>
      </c>
      <c r="K64" s="893">
        <v>2.3263888888888887E-3</v>
      </c>
      <c r="L64" s="1048">
        <v>2.5231481481481481E-3</v>
      </c>
      <c r="M64" s="893">
        <v>2.5231481481481481E-3</v>
      </c>
      <c r="N64" s="1048">
        <v>2.7314814814814819E-3</v>
      </c>
      <c r="O64" s="893">
        <v>2.7372685185185187E-3</v>
      </c>
      <c r="P64" s="1048">
        <v>2.9513888888888888E-3</v>
      </c>
      <c r="Q64" s="894"/>
      <c r="R64" s="1048"/>
      <c r="S64" s="894"/>
      <c r="T64" s="1048"/>
      <c r="U64" s="894"/>
      <c r="V64" s="1042"/>
    </row>
    <row r="65" spans="1:22" ht="54.75" customHeight="1" thickBot="1">
      <c r="A65" s="1956"/>
      <c r="B65" s="1958"/>
      <c r="C65" s="880" t="s">
        <v>730</v>
      </c>
      <c r="D65" s="881" t="s">
        <v>1151</v>
      </c>
      <c r="E65" s="882" t="s">
        <v>935</v>
      </c>
      <c r="F65" s="1026" t="s">
        <v>936</v>
      </c>
      <c r="G65" s="883" t="s">
        <v>937</v>
      </c>
      <c r="H65" s="1026" t="s">
        <v>938</v>
      </c>
      <c r="I65" s="883" t="s">
        <v>939</v>
      </c>
      <c r="J65" s="1026" t="s">
        <v>940</v>
      </c>
      <c r="K65" s="884" t="s">
        <v>941</v>
      </c>
      <c r="L65" s="1026" t="s">
        <v>942</v>
      </c>
      <c r="M65" s="883" t="s">
        <v>942</v>
      </c>
      <c r="N65" s="1026" t="s">
        <v>943</v>
      </c>
      <c r="O65" s="883" t="s">
        <v>944</v>
      </c>
      <c r="P65" s="1026" t="s">
        <v>945</v>
      </c>
      <c r="Q65" s="885"/>
      <c r="R65" s="1026"/>
      <c r="S65" s="885"/>
      <c r="T65" s="1026"/>
      <c r="U65" s="885"/>
      <c r="V65" s="1039"/>
    </row>
    <row r="66" spans="1:22" s="898" customFormat="1" ht="57.75" customHeight="1">
      <c r="A66" s="1955">
        <f>A64+1</f>
        <v>27</v>
      </c>
      <c r="B66" s="1984" t="s">
        <v>1087</v>
      </c>
      <c r="C66" s="875" t="s">
        <v>729</v>
      </c>
      <c r="D66" s="876" t="s">
        <v>1151</v>
      </c>
      <c r="E66" s="877"/>
      <c r="F66" s="1025"/>
      <c r="G66" s="877"/>
      <c r="H66" s="1025"/>
      <c r="I66" s="878">
        <v>4.409722222222222E-3</v>
      </c>
      <c r="J66" s="1025">
        <v>4.8032407407407407E-3</v>
      </c>
      <c r="K66" s="878">
        <v>4.7916666666666672E-3</v>
      </c>
      <c r="L66" s="1025">
        <v>5.2662037037037035E-3</v>
      </c>
      <c r="M66" s="878">
        <v>5.5439814814814822E-3</v>
      </c>
      <c r="N66" s="1025">
        <v>6.1342592592592594E-3</v>
      </c>
      <c r="O66" s="878">
        <v>6.5972222222222222E-3</v>
      </c>
      <c r="P66" s="1025">
        <v>7.2453703703703708E-3</v>
      </c>
      <c r="Q66" s="877"/>
      <c r="R66" s="1025"/>
      <c r="S66" s="877"/>
      <c r="T66" s="1025"/>
      <c r="U66" s="877"/>
      <c r="V66" s="1036"/>
    </row>
    <row r="67" spans="1:22" s="898" customFormat="1" ht="57.75" customHeight="1" thickBot="1">
      <c r="A67" s="1956"/>
      <c r="B67" s="1958"/>
      <c r="C67" s="880" t="s">
        <v>730</v>
      </c>
      <c r="D67" s="881" t="s">
        <v>1151</v>
      </c>
      <c r="E67" s="895"/>
      <c r="F67" s="1030"/>
      <c r="G67" s="883" t="s">
        <v>946</v>
      </c>
      <c r="H67" s="1026" t="s">
        <v>947</v>
      </c>
      <c r="I67" s="883" t="s">
        <v>948</v>
      </c>
      <c r="J67" s="1026" t="s">
        <v>949</v>
      </c>
      <c r="K67" s="884" t="s">
        <v>950</v>
      </c>
      <c r="L67" s="1026" t="s">
        <v>951</v>
      </c>
      <c r="M67" s="883" t="s">
        <v>952</v>
      </c>
      <c r="N67" s="1026" t="s">
        <v>953</v>
      </c>
      <c r="O67" s="883" t="s">
        <v>954</v>
      </c>
      <c r="P67" s="1026" t="s">
        <v>955</v>
      </c>
      <c r="Q67" s="895"/>
      <c r="R67" s="1030"/>
      <c r="S67" s="895"/>
      <c r="T67" s="1030"/>
      <c r="U67" s="895"/>
      <c r="V67" s="1043"/>
    </row>
    <row r="68" spans="1:22" s="898" customFormat="1" ht="57.75" customHeight="1">
      <c r="A68" s="1955">
        <f>A66+1</f>
        <v>28</v>
      </c>
      <c r="B68" s="1984" t="s">
        <v>1088</v>
      </c>
      <c r="C68" s="875" t="s">
        <v>729</v>
      </c>
      <c r="D68" s="876" t="s">
        <v>1151</v>
      </c>
      <c r="E68" s="877"/>
      <c r="F68" s="1025"/>
      <c r="G68" s="877"/>
      <c r="H68" s="1025"/>
      <c r="I68" s="878">
        <v>4.8611111111111112E-3</v>
      </c>
      <c r="J68" s="1025">
        <v>5.347222222222222E-3</v>
      </c>
      <c r="K68" s="878">
        <v>5.347222222222222E-3</v>
      </c>
      <c r="L68" s="1025">
        <v>5.8449074074074072E-3</v>
      </c>
      <c r="M68" s="878">
        <v>6.1574074074074074E-3</v>
      </c>
      <c r="N68" s="1025">
        <v>6.7708333333333336E-3</v>
      </c>
      <c r="O68" s="878">
        <v>7.1759259259259259E-3</v>
      </c>
      <c r="P68" s="1025">
        <v>7.9629629629629634E-3</v>
      </c>
      <c r="Q68" s="877"/>
      <c r="R68" s="1025"/>
      <c r="S68" s="877"/>
      <c r="T68" s="1025"/>
      <c r="U68" s="877"/>
      <c r="V68" s="1036"/>
    </row>
    <row r="69" spans="1:22" s="898" customFormat="1" ht="57.75" customHeight="1" thickBot="1">
      <c r="A69" s="1956"/>
      <c r="B69" s="1958"/>
      <c r="C69" s="880" t="s">
        <v>730</v>
      </c>
      <c r="D69" s="881" t="s">
        <v>1151</v>
      </c>
      <c r="E69" s="895"/>
      <c r="F69" s="1030"/>
      <c r="G69" s="883" t="s">
        <v>956</v>
      </c>
      <c r="H69" s="1026" t="s">
        <v>957</v>
      </c>
      <c r="I69" s="883" t="s">
        <v>958</v>
      </c>
      <c r="J69" s="1026" t="s">
        <v>959</v>
      </c>
      <c r="K69" s="884" t="s">
        <v>959</v>
      </c>
      <c r="L69" s="1026" t="s">
        <v>905</v>
      </c>
      <c r="M69" s="883" t="s">
        <v>960</v>
      </c>
      <c r="N69" s="1026" t="s">
        <v>961</v>
      </c>
      <c r="O69" s="883" t="s">
        <v>962</v>
      </c>
      <c r="P69" s="1026" t="s">
        <v>963</v>
      </c>
      <c r="Q69" s="895"/>
      <c r="R69" s="1030"/>
      <c r="S69" s="895"/>
      <c r="T69" s="1030"/>
      <c r="U69" s="895"/>
      <c r="V69" s="1043"/>
    </row>
    <row r="70" spans="1:22" s="898" customFormat="1" ht="57.75" customHeight="1">
      <c r="A70" s="1955">
        <f>A68+1</f>
        <v>29</v>
      </c>
      <c r="B70" s="1984" t="s">
        <v>1089</v>
      </c>
      <c r="C70" s="875" t="s">
        <v>729</v>
      </c>
      <c r="D70" s="876" t="s">
        <v>1151</v>
      </c>
      <c r="E70" s="896"/>
      <c r="F70" s="1025"/>
      <c r="G70" s="877"/>
      <c r="H70" s="1025"/>
      <c r="I70" s="878">
        <v>4.7453703703703703E-3</v>
      </c>
      <c r="J70" s="1025">
        <v>5.208333333333333E-3</v>
      </c>
      <c r="K70" s="878">
        <v>5.2314814814814819E-3</v>
      </c>
      <c r="L70" s="1025">
        <v>5.7638888888888887E-3</v>
      </c>
      <c r="M70" s="878">
        <v>6.053240740740741E-3</v>
      </c>
      <c r="N70" s="1025">
        <v>6.6782407407407415E-3</v>
      </c>
      <c r="O70" s="878">
        <v>7.0486111111111105E-3</v>
      </c>
      <c r="P70" s="1025">
        <v>7.8472222222222224E-3</v>
      </c>
      <c r="Q70" s="877"/>
      <c r="R70" s="1025"/>
      <c r="S70" s="877"/>
      <c r="T70" s="1025"/>
      <c r="U70" s="877"/>
      <c r="V70" s="1036"/>
    </row>
    <row r="71" spans="1:22" s="898" customFormat="1" ht="57.75" customHeight="1" thickBot="1">
      <c r="A71" s="1956"/>
      <c r="B71" s="1958"/>
      <c r="C71" s="880" t="s">
        <v>730</v>
      </c>
      <c r="D71" s="881" t="s">
        <v>1151</v>
      </c>
      <c r="E71" s="897"/>
      <c r="F71" s="1030"/>
      <c r="G71" s="883" t="s">
        <v>947</v>
      </c>
      <c r="H71" s="1026" t="s">
        <v>964</v>
      </c>
      <c r="I71" s="883" t="s">
        <v>965</v>
      </c>
      <c r="J71" s="1026" t="s">
        <v>966</v>
      </c>
      <c r="K71" s="884" t="s">
        <v>967</v>
      </c>
      <c r="L71" s="1026" t="s">
        <v>968</v>
      </c>
      <c r="M71" s="883" t="s">
        <v>969</v>
      </c>
      <c r="N71" s="1026" t="s">
        <v>970</v>
      </c>
      <c r="O71" s="883" t="s">
        <v>971</v>
      </c>
      <c r="P71" s="1026" t="s">
        <v>972</v>
      </c>
      <c r="Q71" s="895"/>
      <c r="R71" s="1030"/>
      <c r="S71" s="895"/>
      <c r="T71" s="1030"/>
      <c r="U71" s="895"/>
      <c r="V71" s="1043"/>
    </row>
    <row r="72" spans="1:22" s="898" customFormat="1" ht="32.25" customHeight="1">
      <c r="A72" s="1985" t="s">
        <v>216</v>
      </c>
      <c r="B72" s="1986"/>
      <c r="C72" s="1975" t="s">
        <v>1246</v>
      </c>
      <c r="D72" s="1976"/>
      <c r="E72" s="1976"/>
      <c r="F72" s="1976"/>
      <c r="G72" s="1976"/>
      <c r="H72" s="1976"/>
      <c r="I72" s="1976"/>
      <c r="J72" s="1976"/>
      <c r="K72" s="1976"/>
      <c r="L72" s="1976"/>
      <c r="M72" s="1976"/>
      <c r="N72" s="1976"/>
      <c r="O72" s="1976"/>
      <c r="P72" s="1976"/>
      <c r="Q72" s="1976"/>
      <c r="R72" s="1976"/>
      <c r="S72" s="1976"/>
      <c r="T72" s="1976"/>
      <c r="U72" s="1976"/>
      <c r="V72" s="1977"/>
    </row>
    <row r="73" spans="1:22" s="898" customFormat="1" ht="73.5" customHeight="1">
      <c r="A73" s="1987"/>
      <c r="B73" s="1988"/>
      <c r="C73" s="1962" t="s">
        <v>1247</v>
      </c>
      <c r="D73" s="1939"/>
      <c r="E73" s="1939"/>
      <c r="F73" s="1939"/>
      <c r="G73" s="1939"/>
      <c r="H73" s="1939"/>
      <c r="I73" s="1939"/>
      <c r="J73" s="1939"/>
      <c r="K73" s="1939"/>
      <c r="L73" s="1939"/>
      <c r="M73" s="1939"/>
      <c r="N73" s="1939"/>
      <c r="O73" s="1939"/>
      <c r="P73" s="1939"/>
      <c r="Q73" s="1939"/>
      <c r="R73" s="1939"/>
      <c r="S73" s="1939"/>
      <c r="T73" s="1939"/>
      <c r="U73" s="1939"/>
      <c r="V73" s="1940"/>
    </row>
    <row r="74" spans="1:22" s="898" customFormat="1" ht="60.75" customHeight="1">
      <c r="A74" s="1987"/>
      <c r="B74" s="1988"/>
      <c r="C74" s="1963" t="s">
        <v>1248</v>
      </c>
      <c r="D74" s="1964"/>
      <c r="E74" s="1964"/>
      <c r="F74" s="1964"/>
      <c r="G74" s="1964"/>
      <c r="H74" s="1964"/>
      <c r="I74" s="1964"/>
      <c r="J74" s="1964"/>
      <c r="K74" s="1964"/>
      <c r="L74" s="1964"/>
      <c r="M74" s="1964"/>
      <c r="N74" s="1964"/>
      <c r="O74" s="1964"/>
      <c r="P74" s="1964"/>
      <c r="Q74" s="1964"/>
      <c r="R74" s="1964"/>
      <c r="S74" s="1964"/>
      <c r="T74" s="1964"/>
      <c r="U74" s="1964"/>
      <c r="V74" s="1965"/>
    </row>
    <row r="75" spans="1:22" s="898" customFormat="1" ht="78.75" customHeight="1">
      <c r="A75" s="1987"/>
      <c r="B75" s="1988"/>
      <c r="C75" s="1941" t="s">
        <v>1249</v>
      </c>
      <c r="D75" s="1966"/>
      <c r="E75" s="1966"/>
      <c r="F75" s="1966"/>
      <c r="G75" s="1966"/>
      <c r="H75" s="1966"/>
      <c r="I75" s="1966"/>
      <c r="J75" s="1966"/>
      <c r="K75" s="1966"/>
      <c r="L75" s="1966"/>
      <c r="M75" s="1966"/>
      <c r="N75" s="1966"/>
      <c r="O75" s="1966"/>
      <c r="P75" s="1966"/>
      <c r="Q75" s="1966"/>
      <c r="R75" s="1966"/>
      <c r="S75" s="1966"/>
      <c r="T75" s="1966"/>
      <c r="U75" s="1966"/>
      <c r="V75" s="1967"/>
    </row>
    <row r="76" spans="1:22" s="898" customFormat="1" ht="48" customHeight="1">
      <c r="A76" s="1987"/>
      <c r="B76" s="1988"/>
      <c r="C76" s="1963" t="s">
        <v>1250</v>
      </c>
      <c r="D76" s="1964"/>
      <c r="E76" s="1964"/>
      <c r="F76" s="1964"/>
      <c r="G76" s="1964"/>
      <c r="H76" s="1964"/>
      <c r="I76" s="1964"/>
      <c r="J76" s="1964"/>
      <c r="K76" s="1964"/>
      <c r="L76" s="1964"/>
      <c r="M76" s="1964"/>
      <c r="N76" s="1964"/>
      <c r="O76" s="1964"/>
      <c r="P76" s="1964"/>
      <c r="Q76" s="1964"/>
      <c r="R76" s="1964"/>
      <c r="S76" s="1964"/>
      <c r="T76" s="1964"/>
      <c r="U76" s="1964"/>
      <c r="V76" s="1965"/>
    </row>
    <row r="77" spans="1:22" s="898" customFormat="1" ht="27" customHeight="1">
      <c r="A77" s="1987"/>
      <c r="B77" s="1988"/>
      <c r="C77" s="1963" t="s">
        <v>1251</v>
      </c>
      <c r="D77" s="1964"/>
      <c r="E77" s="1964"/>
      <c r="F77" s="1964"/>
      <c r="G77" s="1964"/>
      <c r="H77" s="1964"/>
      <c r="I77" s="1964"/>
      <c r="J77" s="1964"/>
      <c r="K77" s="1964"/>
      <c r="L77" s="1964"/>
      <c r="M77" s="1964"/>
      <c r="N77" s="1964"/>
      <c r="O77" s="1964"/>
      <c r="P77" s="1964"/>
      <c r="Q77" s="1964"/>
      <c r="R77" s="1964"/>
      <c r="S77" s="1964"/>
      <c r="T77" s="1964"/>
      <c r="U77" s="1964"/>
      <c r="V77" s="1965"/>
    </row>
    <row r="78" spans="1:22" s="898" customFormat="1" ht="29.25" customHeight="1">
      <c r="A78" s="1987"/>
      <c r="B78" s="1988"/>
      <c r="C78" s="1968" t="s">
        <v>1252</v>
      </c>
      <c r="D78" s="1939"/>
      <c r="E78" s="1939"/>
      <c r="F78" s="1939"/>
      <c r="G78" s="1939"/>
      <c r="H78" s="1939"/>
      <c r="I78" s="1939"/>
      <c r="J78" s="1939"/>
      <c r="K78" s="1939"/>
      <c r="L78" s="1939"/>
      <c r="M78" s="1939"/>
      <c r="N78" s="1939"/>
      <c r="O78" s="1939"/>
      <c r="P78" s="1939"/>
      <c r="Q78" s="1939"/>
      <c r="R78" s="1939"/>
      <c r="S78" s="1939"/>
      <c r="T78" s="1939"/>
      <c r="U78" s="1939"/>
      <c r="V78" s="1940"/>
    </row>
    <row r="79" spans="1:22" s="898" customFormat="1" ht="27.75" customHeight="1">
      <c r="A79" s="1987"/>
      <c r="B79" s="1988"/>
      <c r="C79" s="1963" t="s">
        <v>1253</v>
      </c>
      <c r="D79" s="1964"/>
      <c r="E79" s="1964"/>
      <c r="F79" s="1964"/>
      <c r="G79" s="1964"/>
      <c r="H79" s="1964"/>
      <c r="I79" s="1964"/>
      <c r="J79" s="1964"/>
      <c r="K79" s="1964"/>
      <c r="L79" s="1964"/>
      <c r="M79" s="1964"/>
      <c r="N79" s="1964"/>
      <c r="O79" s="1964"/>
      <c r="P79" s="1964"/>
      <c r="Q79" s="1964"/>
      <c r="R79" s="1964"/>
      <c r="S79" s="1964"/>
      <c r="T79" s="1964"/>
      <c r="U79" s="1964"/>
      <c r="V79" s="1965"/>
    </row>
    <row r="80" spans="1:22" s="898" customFormat="1" ht="45" customHeight="1">
      <c r="A80" s="1987"/>
      <c r="B80" s="1988"/>
      <c r="C80" s="1963" t="s">
        <v>1254</v>
      </c>
      <c r="D80" s="1964"/>
      <c r="E80" s="1964"/>
      <c r="F80" s="1964"/>
      <c r="G80" s="1964"/>
      <c r="H80" s="1964"/>
      <c r="I80" s="1964"/>
      <c r="J80" s="1964"/>
      <c r="K80" s="1964"/>
      <c r="L80" s="1964"/>
      <c r="M80" s="1964"/>
      <c r="N80" s="1964"/>
      <c r="O80" s="1964"/>
      <c r="P80" s="1964"/>
      <c r="Q80" s="1964"/>
      <c r="R80" s="1964"/>
      <c r="S80" s="1964"/>
      <c r="T80" s="1964"/>
      <c r="U80" s="1964"/>
      <c r="V80" s="1965"/>
    </row>
    <row r="81" spans="1:22" s="898" customFormat="1" ht="48.75" customHeight="1">
      <c r="A81" s="1989"/>
      <c r="B81" s="1990"/>
      <c r="C81" s="1969" t="s">
        <v>973</v>
      </c>
      <c r="D81" s="1970"/>
      <c r="E81" s="1970"/>
      <c r="F81" s="1970"/>
      <c r="G81" s="1970"/>
      <c r="H81" s="1970"/>
      <c r="I81" s="1970"/>
      <c r="J81" s="1970"/>
      <c r="K81" s="1970"/>
      <c r="L81" s="1970"/>
      <c r="M81" s="1970"/>
      <c r="N81" s="1970"/>
      <c r="O81" s="1970"/>
      <c r="P81" s="1970"/>
      <c r="Q81" s="1970"/>
      <c r="R81" s="1970"/>
      <c r="S81" s="1970"/>
      <c r="T81" s="1970"/>
      <c r="U81" s="1970"/>
      <c r="V81" s="1971"/>
    </row>
    <row r="82" spans="1:22" s="898" customFormat="1" ht="44.25" customHeight="1">
      <c r="A82" s="1936"/>
      <c r="B82" s="1937"/>
      <c r="C82" s="1972" t="s">
        <v>974</v>
      </c>
      <c r="D82" s="1973"/>
      <c r="E82" s="1973"/>
      <c r="F82" s="1973"/>
      <c r="G82" s="1973"/>
      <c r="H82" s="1973"/>
      <c r="I82" s="1973"/>
      <c r="J82" s="1973"/>
      <c r="K82" s="1973"/>
      <c r="L82" s="1973"/>
      <c r="M82" s="1973"/>
      <c r="N82" s="1973"/>
      <c r="O82" s="1973"/>
      <c r="P82" s="1973"/>
      <c r="Q82" s="1973"/>
      <c r="R82" s="1973"/>
      <c r="S82" s="1973"/>
      <c r="T82" s="1973"/>
      <c r="U82" s="1973"/>
      <c r="V82" s="1974"/>
    </row>
    <row r="83" spans="1:22" s="898" customFormat="1" ht="43.5" customHeight="1">
      <c r="A83" s="1936"/>
      <c r="B83" s="1937"/>
      <c r="C83" s="1941" t="s">
        <v>1255</v>
      </c>
      <c r="D83" s="1939"/>
      <c r="E83" s="1939"/>
      <c r="F83" s="1939"/>
      <c r="G83" s="1939"/>
      <c r="H83" s="1939"/>
      <c r="I83" s="1939"/>
      <c r="J83" s="1939"/>
      <c r="K83" s="1939"/>
      <c r="L83" s="1939"/>
      <c r="M83" s="1939"/>
      <c r="N83" s="1939"/>
      <c r="O83" s="1939"/>
      <c r="P83" s="1939"/>
      <c r="Q83" s="1939"/>
      <c r="R83" s="1939"/>
      <c r="S83" s="1939"/>
      <c r="T83" s="1939"/>
      <c r="U83" s="1939"/>
      <c r="V83" s="1940"/>
    </row>
    <row r="84" spans="1:22" s="898" customFormat="1" ht="30" customHeight="1">
      <c r="A84" s="1936"/>
      <c r="B84" s="1937"/>
      <c r="C84" s="1962" t="s">
        <v>1256</v>
      </c>
      <c r="D84" s="1942"/>
      <c r="E84" s="1942"/>
      <c r="F84" s="1942"/>
      <c r="G84" s="1942"/>
      <c r="H84" s="1942"/>
      <c r="I84" s="1942"/>
      <c r="J84" s="1942"/>
      <c r="K84" s="1942"/>
      <c r="L84" s="1942"/>
      <c r="M84" s="1942"/>
      <c r="N84" s="1942"/>
      <c r="O84" s="1942"/>
      <c r="P84" s="1942"/>
      <c r="Q84" s="1942"/>
      <c r="R84" s="1942"/>
      <c r="S84" s="1942"/>
      <c r="T84" s="1942"/>
      <c r="U84" s="1942"/>
      <c r="V84" s="1943"/>
    </row>
    <row r="85" spans="1:22" s="898" customFormat="1" ht="95.25" customHeight="1">
      <c r="A85" s="1936"/>
      <c r="B85" s="1937"/>
      <c r="C85" s="1938" t="s">
        <v>1257</v>
      </c>
      <c r="D85" s="1939"/>
      <c r="E85" s="1939"/>
      <c r="F85" s="1939"/>
      <c r="G85" s="1939"/>
      <c r="H85" s="1939"/>
      <c r="I85" s="1939"/>
      <c r="J85" s="1939"/>
      <c r="K85" s="1939"/>
      <c r="L85" s="1939"/>
      <c r="M85" s="1939"/>
      <c r="N85" s="1939"/>
      <c r="O85" s="1939"/>
      <c r="P85" s="1939"/>
      <c r="Q85" s="1939"/>
      <c r="R85" s="1939"/>
      <c r="S85" s="1939"/>
      <c r="T85" s="1939"/>
      <c r="U85" s="1939"/>
      <c r="V85" s="1940"/>
    </row>
    <row r="86" spans="1:22" s="898" customFormat="1" ht="93.75" customHeight="1">
      <c r="A86" s="1936"/>
      <c r="B86" s="1937"/>
      <c r="C86" s="1938" t="s">
        <v>1258</v>
      </c>
      <c r="D86" s="1939"/>
      <c r="E86" s="1939"/>
      <c r="F86" s="1939"/>
      <c r="G86" s="1939"/>
      <c r="H86" s="1939"/>
      <c r="I86" s="1939"/>
      <c r="J86" s="1939"/>
      <c r="K86" s="1939"/>
      <c r="L86" s="1939"/>
      <c r="M86" s="1939"/>
      <c r="N86" s="1939"/>
      <c r="O86" s="1939"/>
      <c r="P86" s="1939"/>
      <c r="Q86" s="1939"/>
      <c r="R86" s="1939"/>
      <c r="S86" s="1939"/>
      <c r="T86" s="1939"/>
      <c r="U86" s="1939"/>
      <c r="V86" s="1940"/>
    </row>
    <row r="87" spans="1:22" s="865" customFormat="1" ht="54" customHeight="1">
      <c r="A87" s="1936"/>
      <c r="B87" s="1937"/>
      <c r="C87" s="1941" t="s">
        <v>1259</v>
      </c>
      <c r="D87" s="1942"/>
      <c r="E87" s="1942"/>
      <c r="F87" s="1942"/>
      <c r="G87" s="1942"/>
      <c r="H87" s="1942"/>
      <c r="I87" s="1942"/>
      <c r="J87" s="1942"/>
      <c r="K87" s="1942"/>
      <c r="L87" s="1942"/>
      <c r="M87" s="1942"/>
      <c r="N87" s="1942"/>
      <c r="O87" s="1942"/>
      <c r="P87" s="1942"/>
      <c r="Q87" s="1942"/>
      <c r="R87" s="1942"/>
      <c r="S87" s="1942"/>
      <c r="T87" s="1942"/>
      <c r="U87" s="1942"/>
      <c r="V87" s="1943"/>
    </row>
    <row r="88" spans="1:22" s="865" customFormat="1" ht="39.75" customHeight="1">
      <c r="A88" s="1936"/>
      <c r="B88" s="1937"/>
      <c r="C88" s="1938" t="s">
        <v>1260</v>
      </c>
      <c r="D88" s="1939"/>
      <c r="E88" s="1939"/>
      <c r="F88" s="1939"/>
      <c r="G88" s="1939"/>
      <c r="H88" s="1939"/>
      <c r="I88" s="1939"/>
      <c r="J88" s="1939"/>
      <c r="K88" s="1939"/>
      <c r="L88" s="1939"/>
      <c r="M88" s="1939"/>
      <c r="N88" s="1939"/>
      <c r="O88" s="1939"/>
      <c r="P88" s="1939"/>
      <c r="Q88" s="1939"/>
      <c r="R88" s="1939"/>
      <c r="S88" s="1939"/>
      <c r="T88" s="1939"/>
      <c r="U88" s="1939"/>
      <c r="V88" s="1940"/>
    </row>
    <row r="89" spans="1:22" s="865" customFormat="1" ht="130.5" customHeight="1">
      <c r="A89" s="1936"/>
      <c r="B89" s="1937"/>
      <c r="C89" s="1941" t="s">
        <v>1261</v>
      </c>
      <c r="D89" s="1942"/>
      <c r="E89" s="1942"/>
      <c r="F89" s="1942"/>
      <c r="G89" s="1942"/>
      <c r="H89" s="1942"/>
      <c r="I89" s="1942"/>
      <c r="J89" s="1942"/>
      <c r="K89" s="1942"/>
      <c r="L89" s="1942"/>
      <c r="M89" s="1942"/>
      <c r="N89" s="1942"/>
      <c r="O89" s="1942"/>
      <c r="P89" s="1942"/>
      <c r="Q89" s="1942"/>
      <c r="R89" s="1942"/>
      <c r="S89" s="1942"/>
      <c r="T89" s="1942"/>
      <c r="U89" s="1942"/>
      <c r="V89" s="1943"/>
    </row>
    <row r="90" spans="1:22" s="899" customFormat="1" ht="203.25" customHeight="1">
      <c r="A90" s="1936"/>
      <c r="B90" s="1937"/>
      <c r="C90" s="1944" t="s">
        <v>1262</v>
      </c>
      <c r="D90" s="1945"/>
      <c r="E90" s="1945"/>
      <c r="F90" s="1945"/>
      <c r="G90" s="1945"/>
      <c r="H90" s="1945"/>
      <c r="I90" s="1945"/>
      <c r="J90" s="1945"/>
      <c r="K90" s="1945"/>
      <c r="L90" s="1945"/>
      <c r="M90" s="1945"/>
      <c r="N90" s="1945"/>
      <c r="O90" s="1945"/>
      <c r="P90" s="1945"/>
      <c r="Q90" s="1945"/>
      <c r="R90" s="1945"/>
      <c r="S90" s="1945"/>
      <c r="T90" s="1945"/>
      <c r="U90" s="1945"/>
      <c r="V90" s="1946"/>
    </row>
    <row r="91" spans="1:22" s="899" customFormat="1" ht="62.25" customHeight="1">
      <c r="A91" s="1936"/>
      <c r="B91" s="1937"/>
      <c r="C91" s="1949" t="s">
        <v>1263</v>
      </c>
      <c r="D91" s="1950"/>
      <c r="E91" s="1950"/>
      <c r="F91" s="1950"/>
      <c r="G91" s="1950"/>
      <c r="H91" s="1950"/>
      <c r="I91" s="1950"/>
      <c r="J91" s="1950"/>
      <c r="K91" s="1950"/>
      <c r="L91" s="1950"/>
      <c r="M91" s="1950"/>
      <c r="N91" s="1950"/>
      <c r="O91" s="1950"/>
      <c r="P91" s="1950"/>
      <c r="Q91" s="1950"/>
      <c r="R91" s="1950"/>
      <c r="S91" s="1950"/>
      <c r="T91" s="1950"/>
      <c r="U91" s="1950"/>
      <c r="V91" s="1951"/>
    </row>
    <row r="92" spans="1:22" s="899" customFormat="1" ht="50.25" customHeight="1">
      <c r="A92" s="1936"/>
      <c r="B92" s="1937"/>
      <c r="C92" s="1941" t="s">
        <v>1264</v>
      </c>
      <c r="D92" s="1942"/>
      <c r="E92" s="1942"/>
      <c r="F92" s="1942"/>
      <c r="G92" s="1942"/>
      <c r="H92" s="1942"/>
      <c r="I92" s="1942"/>
      <c r="J92" s="1942"/>
      <c r="K92" s="1942"/>
      <c r="L92" s="1942"/>
      <c r="M92" s="1942"/>
      <c r="N92" s="1942"/>
      <c r="O92" s="1942"/>
      <c r="P92" s="1942"/>
      <c r="Q92" s="1942"/>
      <c r="R92" s="1942"/>
      <c r="S92" s="1942"/>
      <c r="T92" s="1942"/>
      <c r="U92" s="1942"/>
      <c r="V92" s="1943"/>
    </row>
    <row r="93" spans="1:22" s="865" customFormat="1" ht="50.25" customHeight="1" thickBot="1">
      <c r="A93" s="1947"/>
      <c r="B93" s="1948"/>
      <c r="C93" s="1952" t="s">
        <v>1265</v>
      </c>
      <c r="D93" s="1953"/>
      <c r="E93" s="1953"/>
      <c r="F93" s="1953"/>
      <c r="G93" s="1953"/>
      <c r="H93" s="1953"/>
      <c r="I93" s="1953"/>
      <c r="J93" s="1953"/>
      <c r="K93" s="1953"/>
      <c r="L93" s="1953"/>
      <c r="M93" s="1953"/>
      <c r="N93" s="1953"/>
      <c r="O93" s="1953"/>
      <c r="P93" s="1953"/>
      <c r="Q93" s="1953"/>
      <c r="R93" s="1953"/>
      <c r="S93" s="1953"/>
      <c r="T93" s="1953"/>
      <c r="U93" s="1953"/>
      <c r="V93" s="1954"/>
    </row>
    <row r="94" spans="1:22" s="865" customFormat="1" ht="36" customHeight="1">
      <c r="A94" s="1931"/>
      <c r="B94" s="1932"/>
      <c r="C94" s="1007"/>
      <c r="D94" s="1931"/>
      <c r="E94" s="1932"/>
      <c r="F94" s="1932"/>
      <c r="G94" s="1932"/>
      <c r="H94" s="1932"/>
      <c r="I94" s="1932"/>
      <c r="J94" s="1932"/>
      <c r="K94" s="1932"/>
      <c r="L94" s="1932"/>
      <c r="M94" s="1932"/>
      <c r="N94" s="1932"/>
      <c r="O94" s="1932"/>
      <c r="P94" s="1932"/>
      <c r="Q94" s="1932"/>
      <c r="R94" s="1932"/>
      <c r="S94" s="1932"/>
      <c r="T94" s="1932"/>
      <c r="U94" s="1932"/>
      <c r="V94" s="1006"/>
    </row>
    <row r="95" spans="1:22" s="900" customFormat="1" ht="38.1" customHeight="1">
      <c r="A95" s="1959" t="s">
        <v>217</v>
      </c>
      <c r="B95" s="1960"/>
      <c r="C95" s="1960"/>
      <c r="D95" s="1960"/>
      <c r="E95" s="1960"/>
      <c r="F95" s="1961"/>
      <c r="G95" s="1961"/>
      <c r="H95" s="1961"/>
      <c r="I95" s="1961"/>
      <c r="J95" s="1961"/>
      <c r="K95" s="1961"/>
      <c r="L95" s="1961"/>
      <c r="M95" s="1961"/>
      <c r="N95" s="1961"/>
      <c r="O95" s="1961"/>
      <c r="P95" s="1961"/>
      <c r="Q95" s="1961"/>
      <c r="R95" s="1961"/>
      <c r="S95" s="1961"/>
      <c r="T95" s="1961"/>
      <c r="U95" s="1961"/>
      <c r="V95" s="1961"/>
    </row>
    <row r="96" spans="1:22" s="900" customFormat="1" ht="33" customHeight="1">
      <c r="A96" s="1933" t="s">
        <v>218</v>
      </c>
      <c r="B96" s="1933"/>
      <c r="C96" s="1933"/>
      <c r="D96" s="1933"/>
      <c r="E96" s="1933"/>
      <c r="F96" s="1935"/>
      <c r="G96" s="1935"/>
      <c r="H96" s="1935"/>
      <c r="I96" s="1935"/>
      <c r="J96" s="1935"/>
      <c r="K96" s="1935"/>
      <c r="L96" s="1935"/>
      <c r="M96" s="1935"/>
      <c r="N96" s="1935"/>
      <c r="O96" s="1935"/>
      <c r="P96" s="1935"/>
      <c r="Q96" s="1935"/>
      <c r="R96" s="1935"/>
      <c r="S96" s="1935"/>
      <c r="T96" s="1935"/>
      <c r="U96" s="1935"/>
      <c r="V96" s="1935"/>
    </row>
    <row r="97" spans="1:22" s="900" customFormat="1" ht="30" customHeight="1">
      <c r="A97" s="1933" t="s">
        <v>219</v>
      </c>
      <c r="B97" s="1934"/>
      <c r="C97" s="1934"/>
      <c r="D97" s="1934"/>
      <c r="E97" s="1934"/>
      <c r="F97" s="1935"/>
      <c r="G97" s="1935"/>
      <c r="H97" s="1935"/>
      <c r="I97" s="1935"/>
      <c r="J97" s="1935"/>
      <c r="K97" s="1935"/>
      <c r="L97" s="1935"/>
      <c r="M97" s="1935"/>
      <c r="N97" s="1935"/>
      <c r="O97" s="1935"/>
      <c r="P97" s="1935"/>
      <c r="Q97" s="1935"/>
      <c r="R97" s="1935"/>
      <c r="S97" s="1935"/>
      <c r="T97" s="1935"/>
      <c r="U97" s="1935"/>
      <c r="V97" s="1935"/>
    </row>
    <row r="98" spans="1:22" s="900" customFormat="1" ht="32.25" customHeight="1">
      <c r="A98" s="1933" t="s">
        <v>220</v>
      </c>
      <c r="B98" s="1933"/>
      <c r="C98" s="1933"/>
      <c r="D98" s="1933"/>
      <c r="E98" s="1933"/>
      <c r="F98" s="1935"/>
      <c r="G98" s="1935"/>
      <c r="H98" s="1935"/>
      <c r="I98" s="1935"/>
      <c r="J98" s="1935"/>
      <c r="K98" s="1935"/>
      <c r="L98" s="1935"/>
      <c r="M98" s="1935"/>
      <c r="N98" s="1935"/>
      <c r="O98" s="1935"/>
      <c r="P98" s="1935"/>
      <c r="Q98" s="1935"/>
      <c r="R98" s="1935"/>
      <c r="S98" s="1935"/>
      <c r="T98" s="1935"/>
      <c r="U98" s="1935"/>
      <c r="V98" s="1935"/>
    </row>
    <row r="99" spans="1:22" s="900" customFormat="1" ht="30.75" customHeight="1">
      <c r="A99" s="1933" t="s">
        <v>975</v>
      </c>
      <c r="B99" s="1930"/>
      <c r="C99" s="1930"/>
      <c r="D99" s="1930"/>
      <c r="E99" s="1930"/>
      <c r="F99" s="1930"/>
      <c r="G99" s="1930"/>
      <c r="H99" s="1930"/>
      <c r="I99" s="1930"/>
      <c r="J99" s="1930"/>
      <c r="K99" s="1930"/>
      <c r="L99" s="1930"/>
      <c r="M99" s="1930"/>
      <c r="N99" s="1930"/>
      <c r="O99" s="1930"/>
      <c r="P99" s="1930"/>
      <c r="Q99" s="1930"/>
      <c r="R99" s="1930"/>
      <c r="S99" s="1930"/>
      <c r="T99" s="1930"/>
      <c r="U99" s="1930"/>
      <c r="V99" s="1930"/>
    </row>
    <row r="100" spans="1:22" s="900" customFormat="1" ht="30.75" customHeight="1">
      <c r="A100" s="1933" t="s">
        <v>976</v>
      </c>
      <c r="B100" s="1930"/>
      <c r="C100" s="1930"/>
      <c r="D100" s="1930"/>
      <c r="E100" s="1930"/>
      <c r="F100" s="1930"/>
      <c r="G100" s="1930"/>
      <c r="H100" s="1930"/>
      <c r="I100" s="1930"/>
      <c r="J100" s="1930"/>
      <c r="K100" s="1930"/>
      <c r="L100" s="1930"/>
      <c r="M100" s="1930"/>
      <c r="N100" s="1930"/>
      <c r="O100" s="1930"/>
      <c r="P100" s="1930"/>
      <c r="Q100" s="1930"/>
      <c r="R100" s="1930"/>
      <c r="S100" s="1930"/>
      <c r="T100" s="1930"/>
      <c r="U100" s="1930"/>
      <c r="V100" s="1930"/>
    </row>
    <row r="101" spans="1:22" s="900" customFormat="1" ht="29.25" customHeight="1">
      <c r="A101" s="1933" t="s">
        <v>977</v>
      </c>
      <c r="B101" s="1930"/>
      <c r="C101" s="1930"/>
      <c r="D101" s="1930"/>
      <c r="E101" s="1930"/>
      <c r="F101" s="1930"/>
      <c r="G101" s="1930"/>
      <c r="H101" s="1930"/>
      <c r="I101" s="1930"/>
      <c r="J101" s="1930"/>
      <c r="K101" s="1930"/>
      <c r="L101" s="1930"/>
      <c r="M101" s="1930"/>
      <c r="N101" s="1930"/>
      <c r="O101" s="1930"/>
      <c r="P101" s="1930"/>
      <c r="Q101" s="1930"/>
      <c r="R101" s="1930"/>
      <c r="S101" s="1930"/>
      <c r="T101" s="1930"/>
      <c r="U101" s="1930"/>
      <c r="V101" s="1930"/>
    </row>
    <row r="102" spans="1:22" s="900" customFormat="1" ht="48" customHeight="1">
      <c r="A102" s="1933" t="s">
        <v>978</v>
      </c>
      <c r="B102" s="1933"/>
      <c r="C102" s="1933"/>
      <c r="D102" s="1933"/>
      <c r="E102" s="1933"/>
      <c r="F102" s="1935"/>
      <c r="G102" s="1935"/>
      <c r="H102" s="1935"/>
      <c r="I102" s="1935"/>
      <c r="J102" s="1935"/>
      <c r="K102" s="1935"/>
      <c r="L102" s="1935"/>
      <c r="M102" s="1935"/>
      <c r="N102" s="1935"/>
      <c r="O102" s="1935"/>
      <c r="P102" s="1935"/>
      <c r="Q102" s="1935"/>
      <c r="R102" s="1935"/>
      <c r="S102" s="1935"/>
      <c r="T102" s="1935"/>
      <c r="U102" s="1935"/>
      <c r="V102" s="1935"/>
    </row>
    <row r="103" spans="1:22" ht="28.5" customHeight="1">
      <c r="A103" s="1930" t="s">
        <v>979</v>
      </c>
      <c r="B103" s="1930"/>
      <c r="C103" s="1930"/>
      <c r="D103" s="1930"/>
      <c r="E103" s="1930"/>
      <c r="F103" s="1930"/>
      <c r="G103" s="1930"/>
      <c r="H103" s="1930"/>
      <c r="I103" s="1930"/>
      <c r="J103" s="1930"/>
      <c r="K103" s="1930"/>
      <c r="L103" s="1930"/>
      <c r="M103" s="1930"/>
      <c r="N103" s="1930"/>
      <c r="O103" s="1930"/>
      <c r="P103" s="1930"/>
      <c r="Q103" s="1930"/>
      <c r="R103" s="1930"/>
      <c r="S103" s="1930"/>
      <c r="T103" s="1930"/>
      <c r="U103" s="1930"/>
      <c r="V103" s="1930"/>
    </row>
    <row r="104" spans="1:22" ht="28.5" customHeight="1">
      <c r="A104" s="1930" t="s">
        <v>980</v>
      </c>
      <c r="B104" s="1930"/>
      <c r="C104" s="1930"/>
      <c r="D104" s="1930"/>
      <c r="E104" s="1930"/>
      <c r="F104" s="1930"/>
      <c r="G104" s="1930"/>
      <c r="H104" s="1930"/>
      <c r="I104" s="1930"/>
      <c r="J104" s="1930"/>
      <c r="K104" s="1930"/>
      <c r="L104" s="1930"/>
      <c r="M104" s="1930"/>
      <c r="N104" s="1930"/>
      <c r="O104" s="1930"/>
      <c r="P104" s="1930"/>
      <c r="Q104" s="1930"/>
      <c r="R104" s="1930"/>
      <c r="S104" s="1930"/>
      <c r="T104" s="1930"/>
      <c r="U104" s="1930"/>
      <c r="V104" s="1930"/>
    </row>
    <row r="105" spans="1:22" ht="28.5" customHeight="1">
      <c r="A105" s="1930" t="s">
        <v>981</v>
      </c>
      <c r="B105" s="1930"/>
      <c r="C105" s="1930"/>
      <c r="D105" s="1930"/>
      <c r="E105" s="1930"/>
      <c r="F105" s="1930"/>
      <c r="G105" s="1930"/>
      <c r="H105" s="1930"/>
      <c r="I105" s="1930"/>
      <c r="J105" s="1930"/>
      <c r="K105" s="1930"/>
      <c r="L105" s="1930"/>
      <c r="M105" s="1930"/>
      <c r="N105" s="1930"/>
      <c r="O105" s="1930"/>
      <c r="P105" s="1930"/>
      <c r="Q105" s="1930"/>
      <c r="R105" s="1930"/>
      <c r="S105" s="1930"/>
      <c r="T105" s="1930"/>
      <c r="U105" s="1930"/>
      <c r="V105" s="1930"/>
    </row>
  </sheetData>
  <mergeCells count="113">
    <mergeCell ref="A42:A43"/>
    <mergeCell ref="B42:B43"/>
    <mergeCell ref="A44:A45"/>
    <mergeCell ref="B44:B45"/>
    <mergeCell ref="A46:A47"/>
    <mergeCell ref="B46:B47"/>
    <mergeCell ref="A48:A49"/>
    <mergeCell ref="B48:B49"/>
    <mergeCell ref="A1:V1"/>
    <mergeCell ref="C3:V3"/>
    <mergeCell ref="C4:V4"/>
    <mergeCell ref="C5:V5"/>
    <mergeCell ref="C11:V11"/>
    <mergeCell ref="C12:V12"/>
    <mergeCell ref="D13:V13"/>
    <mergeCell ref="C6:V6"/>
    <mergeCell ref="C7:V7"/>
    <mergeCell ref="C8:V8"/>
    <mergeCell ref="C9:V9"/>
    <mergeCell ref="C10:V10"/>
    <mergeCell ref="A14:A16"/>
    <mergeCell ref="B14:B16"/>
    <mergeCell ref="C14:C16"/>
    <mergeCell ref="D14:D16"/>
    <mergeCell ref="B70:B71"/>
    <mergeCell ref="A72:B81"/>
    <mergeCell ref="A50:A51"/>
    <mergeCell ref="B50:B51"/>
    <mergeCell ref="A52:A53"/>
    <mergeCell ref="B52:B53"/>
    <mergeCell ref="A54:A55"/>
    <mergeCell ref="B54:B55"/>
    <mergeCell ref="A56:A57"/>
    <mergeCell ref="B56:B57"/>
    <mergeCell ref="A58:A59"/>
    <mergeCell ref="B58:B59"/>
    <mergeCell ref="A60:A61"/>
    <mergeCell ref="B60:B61"/>
    <mergeCell ref="A62:A63"/>
    <mergeCell ref="B62:B63"/>
    <mergeCell ref="A64:A65"/>
    <mergeCell ref="B64:B65"/>
    <mergeCell ref="A66:A67"/>
    <mergeCell ref="B66:B67"/>
    <mergeCell ref="A68:A69"/>
    <mergeCell ref="B68:B69"/>
    <mergeCell ref="E14:F15"/>
    <mergeCell ref="G14:H15"/>
    <mergeCell ref="I14:J15"/>
    <mergeCell ref="K14:P14"/>
    <mergeCell ref="Q14:V14"/>
    <mergeCell ref="K15:L15"/>
    <mergeCell ref="M15:N15"/>
    <mergeCell ref="O15:P15"/>
    <mergeCell ref="Q15:R15"/>
    <mergeCell ref="S15:T15"/>
    <mergeCell ref="U15:V15"/>
    <mergeCell ref="A24:A25"/>
    <mergeCell ref="B24:B25"/>
    <mergeCell ref="A26:A27"/>
    <mergeCell ref="B26:B27"/>
    <mergeCell ref="A28:A29"/>
    <mergeCell ref="B28:B29"/>
    <mergeCell ref="A30:A31"/>
    <mergeCell ref="B30:B31"/>
    <mergeCell ref="A96:V96"/>
    <mergeCell ref="A95:V95"/>
    <mergeCell ref="C84:V84"/>
    <mergeCell ref="C74:V74"/>
    <mergeCell ref="C75:V75"/>
    <mergeCell ref="C76:V76"/>
    <mergeCell ref="C77:V77"/>
    <mergeCell ref="C78:V78"/>
    <mergeCell ref="C79:V79"/>
    <mergeCell ref="C80:V80"/>
    <mergeCell ref="C81:V81"/>
    <mergeCell ref="C82:V82"/>
    <mergeCell ref="C83:V83"/>
    <mergeCell ref="C72:V72"/>
    <mergeCell ref="C73:V73"/>
    <mergeCell ref="A70:A71"/>
    <mergeCell ref="A32:A33"/>
    <mergeCell ref="B32:B33"/>
    <mergeCell ref="A34:A35"/>
    <mergeCell ref="B34:B35"/>
    <mergeCell ref="A36:A37"/>
    <mergeCell ref="B36:B37"/>
    <mergeCell ref="A38:A39"/>
    <mergeCell ref="B38:B39"/>
    <mergeCell ref="A40:A41"/>
    <mergeCell ref="B40:B41"/>
    <mergeCell ref="A82:B90"/>
    <mergeCell ref="C85:V85"/>
    <mergeCell ref="C86:V86"/>
    <mergeCell ref="C87:V87"/>
    <mergeCell ref="C88:V88"/>
    <mergeCell ref="C89:V89"/>
    <mergeCell ref="C90:V90"/>
    <mergeCell ref="A91:B93"/>
    <mergeCell ref="C91:V91"/>
    <mergeCell ref="C92:V92"/>
    <mergeCell ref="C93:V93"/>
    <mergeCell ref="A104:V104"/>
    <mergeCell ref="A105:V105"/>
    <mergeCell ref="A94:B94"/>
    <mergeCell ref="D94:U94"/>
    <mergeCell ref="A97:V97"/>
    <mergeCell ref="A98:V98"/>
    <mergeCell ref="A99:V99"/>
    <mergeCell ref="A100:V100"/>
    <mergeCell ref="A101:V101"/>
    <mergeCell ref="A102:V102"/>
    <mergeCell ref="A103:V10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581"/>
  <sheetViews>
    <sheetView view="pageLayout" topLeftCell="A554" workbookViewId="0">
      <selection activeCell="Q566" sqref="Q566:Q567"/>
    </sheetView>
  </sheetViews>
  <sheetFormatPr defaultRowHeight="15"/>
  <cols>
    <col min="1" max="1" width="2.95703125" customWidth="1"/>
    <col min="2" max="2" width="6.58984375" customWidth="1"/>
    <col min="3" max="3" width="18.6953125" customWidth="1"/>
    <col min="4" max="4" width="13.71875" customWidth="1"/>
    <col min="5" max="5" width="6.72265625" customWidth="1"/>
    <col min="6" max="6" width="18.96484375" customWidth="1"/>
    <col min="7" max="7" width="6.05078125" customWidth="1"/>
    <col min="8" max="8" width="7.12890625" customWidth="1"/>
    <col min="9" max="9" width="7.80078125" customWidth="1"/>
    <col min="10" max="10" width="7.12890625" customWidth="1"/>
    <col min="11" max="11" width="5.109375" customWidth="1"/>
    <col min="12" max="14" width="0.671875" customWidth="1"/>
  </cols>
  <sheetData>
    <row r="1" spans="1:11" s="1254" customFormat="1">
      <c r="A1" s="1504"/>
      <c r="B1" s="1504"/>
      <c r="C1" s="1504"/>
      <c r="D1" s="1504"/>
      <c r="E1" s="1504"/>
      <c r="F1" s="1504"/>
      <c r="G1" s="1504"/>
      <c r="H1" s="1504"/>
      <c r="I1" s="1504"/>
      <c r="J1" s="1504"/>
      <c r="K1" s="1504"/>
    </row>
    <row r="2" spans="1:11" s="1254" customFormat="1">
      <c r="A2" s="1504"/>
      <c r="B2" s="1504"/>
      <c r="C2" s="1504"/>
      <c r="D2" s="1504"/>
      <c r="E2" s="1504"/>
      <c r="F2" s="1504"/>
      <c r="G2" s="1504"/>
      <c r="H2" s="1504"/>
      <c r="I2" s="1504"/>
      <c r="J2" s="1504"/>
      <c r="K2" s="1504"/>
    </row>
    <row r="3" spans="1:11" s="1254" customFormat="1">
      <c r="A3" s="1504"/>
      <c r="B3" s="1504"/>
      <c r="C3" s="1504"/>
      <c r="D3" s="1504"/>
      <c r="E3" s="1504"/>
      <c r="F3" s="1504"/>
      <c r="G3" s="1504"/>
      <c r="H3" s="1504"/>
      <c r="I3" s="1504"/>
      <c r="J3" s="1504"/>
      <c r="K3" s="1504"/>
    </row>
    <row r="4" spans="1:11" s="1254" customFormat="1" ht="12.75" customHeight="1">
      <c r="A4" s="533"/>
      <c r="B4" s="1216"/>
      <c r="C4" s="1216"/>
      <c r="D4" s="531"/>
      <c r="E4" s="586"/>
      <c r="F4" s="1216"/>
      <c r="G4" s="1216"/>
      <c r="H4" s="528"/>
      <c r="I4" s="528"/>
      <c r="J4" s="531"/>
      <c r="K4" s="558"/>
    </row>
    <row r="5" spans="1:11" s="1254" customFormat="1" ht="12.75" customHeight="1">
      <c r="A5" s="533"/>
      <c r="B5" s="1216"/>
      <c r="C5" s="1216"/>
      <c r="D5" s="531"/>
      <c r="E5" s="586"/>
      <c r="F5" s="1216"/>
      <c r="G5" s="1216"/>
      <c r="H5" s="528"/>
      <c r="I5" s="528"/>
      <c r="J5" s="531"/>
      <c r="K5" s="558"/>
    </row>
    <row r="6" spans="1:11" s="1254" customFormat="1" ht="12.75" customHeight="1">
      <c r="A6" s="533"/>
      <c r="B6" s="1216"/>
      <c r="C6" s="1216"/>
      <c r="D6" s="531"/>
      <c r="E6" s="586"/>
      <c r="F6" s="1216"/>
      <c r="G6" s="1216"/>
      <c r="H6" s="528"/>
      <c r="I6" s="528"/>
      <c r="J6" s="531"/>
      <c r="K6" s="558"/>
    </row>
    <row r="7" spans="1:11" s="1254" customFormat="1" ht="12.75" customHeight="1">
      <c r="A7" s="533"/>
      <c r="B7" s="1216"/>
      <c r="C7" s="1216"/>
      <c r="D7" s="531"/>
      <c r="E7" s="586"/>
      <c r="F7" s="1216"/>
      <c r="G7" s="1216"/>
      <c r="H7" s="528"/>
      <c r="I7" s="528"/>
      <c r="J7" s="531"/>
      <c r="K7" s="558"/>
    </row>
    <row r="8" spans="1:11" s="1254" customFormat="1" ht="12.75" customHeight="1">
      <c r="A8" s="533"/>
      <c r="B8" s="1216"/>
      <c r="C8" s="1216"/>
      <c r="D8" s="531"/>
      <c r="E8" s="586"/>
      <c r="F8" s="1216"/>
      <c r="G8" s="1216"/>
      <c r="H8" s="528"/>
      <c r="I8" s="528"/>
      <c r="J8" s="531"/>
      <c r="K8" s="558"/>
    </row>
    <row r="9" spans="1:11" s="1254" customFormat="1" ht="12.75" customHeight="1">
      <c r="A9" s="533"/>
      <c r="B9" s="1216"/>
      <c r="C9" s="1216"/>
      <c r="D9" s="531"/>
      <c r="E9" s="586"/>
      <c r="F9" s="1216"/>
      <c r="G9" s="1216"/>
      <c r="H9" s="528"/>
      <c r="I9" s="528"/>
      <c r="J9" s="531"/>
      <c r="K9" s="558"/>
    </row>
    <row r="10" spans="1:11" s="1254" customFormat="1" ht="12.75" customHeight="1">
      <c r="A10" s="533"/>
      <c r="B10" s="1216"/>
      <c r="C10" s="1216"/>
      <c r="D10" s="531"/>
      <c r="E10" s="586"/>
      <c r="F10" s="1216"/>
      <c r="G10" s="1216"/>
      <c r="H10" s="528"/>
      <c r="I10" s="528"/>
      <c r="J10" s="531"/>
      <c r="K10" s="558"/>
    </row>
    <row r="11" spans="1:11" s="1254" customFormat="1" ht="12.75" customHeight="1">
      <c r="A11" s="1216"/>
      <c r="B11" s="1216"/>
      <c r="C11" s="1216"/>
      <c r="D11" s="1216"/>
      <c r="E11" s="1216"/>
      <c r="F11" s="1216"/>
      <c r="G11" s="1216"/>
      <c r="H11" s="1216"/>
      <c r="I11" s="1216"/>
      <c r="J11" s="1216"/>
      <c r="K11" s="1216"/>
    </row>
    <row r="12" spans="1:11" s="1254" customFormat="1" ht="12.75" customHeight="1">
      <c r="A12" s="1216"/>
      <c r="B12" s="1216"/>
      <c r="C12" s="1216"/>
      <c r="D12" s="1216"/>
      <c r="E12" s="1216"/>
      <c r="F12" s="1216"/>
      <c r="G12" s="1216"/>
      <c r="H12" s="1216"/>
      <c r="I12" s="1216"/>
      <c r="J12" s="1216"/>
      <c r="K12" s="1216"/>
    </row>
    <row r="13" spans="1:11" s="1254" customFormat="1" ht="12.75" customHeight="1">
      <c r="A13" s="1216"/>
      <c r="B13" s="1216"/>
      <c r="C13" s="1216"/>
      <c r="D13" s="1216"/>
      <c r="E13" s="1216"/>
      <c r="F13" s="1216"/>
      <c r="G13" s="1216"/>
      <c r="H13" s="1216"/>
      <c r="I13" s="1216"/>
      <c r="J13" s="1216"/>
      <c r="K13" s="1216"/>
    </row>
    <row r="14" spans="1:11" s="1254" customFormat="1" ht="12.75" customHeight="1">
      <c r="A14" s="1216"/>
      <c r="B14" s="1216"/>
      <c r="C14" s="1216"/>
      <c r="D14" s="1216"/>
      <c r="E14" s="1216"/>
      <c r="F14" s="1216"/>
      <c r="G14" s="1216"/>
      <c r="H14" s="1216"/>
      <c r="I14" s="1216"/>
      <c r="J14" s="1216"/>
      <c r="K14" s="1216"/>
    </row>
    <row r="15" spans="1:11" s="1254" customFormat="1" ht="12.75" customHeight="1">
      <c r="A15" s="1216"/>
      <c r="B15" s="1216"/>
      <c r="C15" s="1216"/>
      <c r="D15" s="1216"/>
      <c r="E15" s="1216"/>
      <c r="F15" s="1216"/>
      <c r="G15" s="1216"/>
      <c r="H15" s="1216"/>
      <c r="I15" s="1216"/>
      <c r="J15" s="1216"/>
      <c r="K15" s="1216"/>
    </row>
    <row r="16" spans="1:11" s="1254" customFormat="1" ht="12.75" customHeight="1">
      <c r="A16" s="533"/>
      <c r="B16" s="1216"/>
      <c r="C16" s="1216"/>
      <c r="D16" s="531"/>
      <c r="E16" s="586"/>
      <c r="F16" s="1216"/>
      <c r="G16" s="1216"/>
      <c r="H16" s="528"/>
      <c r="I16" s="528"/>
      <c r="J16" s="531"/>
      <c r="K16" s="558"/>
    </row>
    <row r="17" spans="1:11" s="1254" customFormat="1" ht="12.75" customHeight="1">
      <c r="A17" s="1216"/>
      <c r="B17" s="1216"/>
      <c r="C17" s="1216"/>
      <c r="D17" s="1216"/>
      <c r="E17" s="1216"/>
      <c r="F17" s="1216"/>
      <c r="G17" s="1216"/>
      <c r="H17" s="1216"/>
      <c r="I17" s="1216"/>
      <c r="J17" s="1216"/>
      <c r="K17" s="1216"/>
    </row>
    <row r="18" spans="1:11" s="1254" customFormat="1" ht="12.75" customHeight="1">
      <c r="A18" s="1216"/>
      <c r="B18" s="1216"/>
      <c r="C18" s="1216"/>
      <c r="D18" s="1216"/>
      <c r="E18" s="1216"/>
      <c r="F18" s="1216"/>
      <c r="G18" s="1216"/>
      <c r="H18" s="1216"/>
      <c r="I18" s="1216"/>
      <c r="J18" s="1216"/>
      <c r="K18" s="1216"/>
    </row>
    <row r="19" spans="1:11" s="1254" customFormat="1" ht="12.75" customHeight="1">
      <c r="A19" s="1216"/>
      <c r="B19" s="1216"/>
      <c r="C19" s="1216"/>
      <c r="D19" s="1216"/>
      <c r="E19" s="1216"/>
      <c r="F19" s="1216"/>
      <c r="G19" s="1216"/>
      <c r="H19" s="1216"/>
      <c r="I19" s="1216"/>
      <c r="J19" s="1216"/>
      <c r="K19" s="1216"/>
    </row>
    <row r="20" spans="1:11" s="1254" customFormat="1" ht="12.75" customHeight="1">
      <c r="A20" s="1216"/>
      <c r="B20" s="1216"/>
      <c r="C20" s="1216"/>
      <c r="D20" s="1216"/>
      <c r="E20" s="1216"/>
      <c r="F20" s="1216"/>
      <c r="G20" s="1216"/>
      <c r="H20" s="1216"/>
      <c r="I20" s="1216"/>
      <c r="J20" s="1216"/>
      <c r="K20" s="1216"/>
    </row>
    <row r="21" spans="1:11" s="1254" customFormat="1" ht="16.5" customHeight="1">
      <c r="A21" s="1216"/>
      <c r="B21" s="1216"/>
      <c r="C21" s="1216"/>
      <c r="D21" s="1216"/>
      <c r="E21" s="1216"/>
      <c r="F21" s="1216"/>
      <c r="G21" s="1216"/>
      <c r="H21" s="1216"/>
      <c r="I21" s="1216"/>
      <c r="J21" s="1216"/>
      <c r="K21" s="1216"/>
    </row>
    <row r="22" spans="1:11" s="1254" customFormat="1" ht="46.5" customHeight="1">
      <c r="A22" s="1505" t="s">
        <v>1682</v>
      </c>
      <c r="B22" s="1505"/>
      <c r="C22" s="1505"/>
      <c r="D22" s="1505"/>
      <c r="E22" s="1505"/>
      <c r="F22" s="1505"/>
      <c r="G22" s="1505"/>
      <c r="H22" s="1505"/>
      <c r="I22" s="1505"/>
      <c r="J22" s="1505"/>
      <c r="K22" s="1505"/>
    </row>
    <row r="23" spans="1:11" s="1254" customFormat="1">
      <c r="A23" s="1544" t="s">
        <v>258</v>
      </c>
      <c r="B23" s="1544"/>
      <c r="C23" s="1544"/>
      <c r="D23" s="1544"/>
      <c r="E23" s="1544"/>
      <c r="F23" s="1544"/>
      <c r="G23" s="1544"/>
      <c r="H23" s="1544"/>
      <c r="I23" s="1544"/>
      <c r="J23" s="1544"/>
      <c r="K23" s="1544"/>
    </row>
    <row r="24" spans="1:11" s="1254" customFormat="1" ht="12.75" customHeight="1">
      <c r="A24" s="559"/>
      <c r="B24" s="559"/>
      <c r="C24" s="559"/>
      <c r="D24" s="559"/>
      <c r="E24" s="559"/>
      <c r="F24" s="559"/>
      <c r="G24" s="559"/>
      <c r="H24" s="559"/>
      <c r="I24" s="559"/>
      <c r="J24" s="559"/>
      <c r="K24" s="559"/>
    </row>
    <row r="25" spans="1:11" s="1254" customFormat="1" ht="22.5" customHeight="1">
      <c r="A25" s="1503"/>
      <c r="B25" s="1503"/>
      <c r="C25" s="1503"/>
      <c r="D25" s="1503"/>
      <c r="E25" s="1503"/>
      <c r="F25" s="1503"/>
      <c r="G25" s="1503"/>
      <c r="H25" s="1503"/>
      <c r="I25" s="1503"/>
      <c r="J25" s="1503"/>
      <c r="K25" s="1503"/>
    </row>
    <row r="26" spans="1:11" s="1254" customFormat="1" ht="12.75" customHeight="1">
      <c r="A26" s="533"/>
      <c r="B26" s="1216"/>
      <c r="C26" s="1216"/>
      <c r="D26" s="531"/>
      <c r="E26" s="586"/>
      <c r="F26" s="1216"/>
      <c r="G26" s="1216"/>
      <c r="H26" s="528"/>
      <c r="I26" s="528"/>
      <c r="J26" s="531"/>
      <c r="K26" s="558"/>
    </row>
    <row r="27" spans="1:11" s="1254" customFormat="1" ht="12.75" customHeight="1">
      <c r="A27" s="533"/>
      <c r="B27" s="1216"/>
      <c r="C27" s="1216"/>
      <c r="D27" s="531"/>
      <c r="E27" s="586"/>
      <c r="F27" s="1216"/>
      <c r="G27" s="1216"/>
      <c r="H27" s="528"/>
      <c r="I27" s="528"/>
      <c r="J27" s="531"/>
      <c r="K27" s="558"/>
    </row>
    <row r="28" spans="1:11" s="1254" customFormat="1" ht="12.75" customHeight="1">
      <c r="A28" s="533"/>
      <c r="B28" s="1216"/>
      <c r="C28" s="1216"/>
      <c r="D28" s="531"/>
      <c r="E28" s="586"/>
      <c r="F28" s="1216"/>
      <c r="G28" s="1216"/>
      <c r="H28" s="528"/>
      <c r="I28" s="528"/>
      <c r="J28" s="531"/>
      <c r="K28" s="558"/>
    </row>
    <row r="29" spans="1:11" s="1254" customFormat="1" ht="12.75" customHeight="1">
      <c r="A29" s="533"/>
      <c r="B29" s="1216"/>
      <c r="C29" s="1216"/>
      <c r="D29" s="531"/>
      <c r="E29" s="586"/>
      <c r="F29" s="1216"/>
      <c r="G29" s="1216"/>
      <c r="H29" s="528"/>
      <c r="I29" s="528"/>
      <c r="J29" s="531"/>
      <c r="K29" s="558"/>
    </row>
    <row r="30" spans="1:11" s="1254" customFormat="1" ht="12.75" customHeight="1">
      <c r="A30" s="533"/>
      <c r="B30" s="1216"/>
      <c r="C30" s="1216"/>
      <c r="D30" s="531"/>
      <c r="E30" s="586"/>
      <c r="F30" s="1216"/>
      <c r="G30" s="1216"/>
      <c r="H30" s="528"/>
      <c r="I30" s="528"/>
      <c r="J30" s="531"/>
      <c r="K30" s="558"/>
    </row>
    <row r="31" spans="1:11" s="1254" customFormat="1" ht="12.75" customHeight="1">
      <c r="A31" s="533"/>
      <c r="B31" s="1216"/>
      <c r="C31" s="1216"/>
      <c r="D31" s="531"/>
      <c r="E31" s="586"/>
      <c r="F31" s="1216"/>
      <c r="G31" s="1216"/>
      <c r="H31" s="528"/>
      <c r="I31" s="528"/>
      <c r="J31" s="531"/>
      <c r="K31" s="558"/>
    </row>
    <row r="32" spans="1:11" s="1254" customFormat="1" ht="16.5" customHeight="1">
      <c r="A32" s="533"/>
      <c r="B32" s="1216"/>
      <c r="C32" s="1216"/>
      <c r="D32" s="531"/>
      <c r="E32" s="586"/>
      <c r="F32" s="1216"/>
      <c r="G32" s="1216"/>
      <c r="H32" s="528"/>
      <c r="I32" s="528"/>
      <c r="J32" s="531"/>
      <c r="K32" s="558"/>
    </row>
    <row r="33" spans="1:13" s="1254" customFormat="1" ht="16.5" customHeight="1">
      <c r="A33" s="533"/>
      <c r="B33" s="1216"/>
      <c r="C33" s="1216"/>
      <c r="D33" s="531"/>
      <c r="E33" s="586"/>
      <c r="F33" s="1216"/>
      <c r="G33" s="1216"/>
      <c r="H33" s="528"/>
      <c r="I33" s="528"/>
      <c r="J33" s="531"/>
      <c r="K33" s="558"/>
    </row>
    <row r="34" spans="1:13" s="1254" customFormat="1" ht="16.5" customHeight="1">
      <c r="A34" s="533"/>
      <c r="B34" s="1216"/>
      <c r="C34" s="1216"/>
      <c r="D34" s="531"/>
      <c r="E34" s="586"/>
      <c r="F34" s="1216"/>
      <c r="G34" s="1216"/>
      <c r="H34" s="528"/>
      <c r="I34" s="528"/>
      <c r="J34" s="531"/>
      <c r="K34" s="558"/>
    </row>
    <row r="35" spans="1:13" s="1254" customFormat="1" ht="12.75" customHeight="1">
      <c r="A35" s="533"/>
      <c r="B35" s="1216"/>
      <c r="C35" s="1216"/>
      <c r="D35" s="531"/>
      <c r="E35" s="586"/>
      <c r="F35" s="1216"/>
      <c r="G35" s="1216"/>
      <c r="H35" s="528"/>
      <c r="I35" s="528"/>
      <c r="J35" s="531"/>
      <c r="K35" s="558"/>
    </row>
    <row r="36" spans="1:13" s="1254" customFormat="1" ht="12.75" customHeight="1">
      <c r="A36" s="533"/>
      <c r="B36" s="1216"/>
      <c r="C36" s="1216"/>
      <c r="D36" s="531"/>
      <c r="E36" s="586"/>
      <c r="F36" s="1216"/>
      <c r="G36" s="1216"/>
      <c r="H36" s="528"/>
      <c r="I36" s="528"/>
      <c r="J36" s="531"/>
      <c r="K36" s="558"/>
    </row>
    <row r="37" spans="1:13" s="1254" customFormat="1" ht="12.75" customHeight="1">
      <c r="A37" s="533"/>
      <c r="B37" s="1216"/>
      <c r="C37" s="1216"/>
      <c r="D37" s="531"/>
      <c r="E37" s="586"/>
      <c r="F37" s="1216"/>
      <c r="G37" s="1216"/>
      <c r="H37" s="528"/>
      <c r="I37" s="528"/>
      <c r="J37" s="531"/>
      <c r="K37" s="558"/>
    </row>
    <row r="38" spans="1:13" s="1254" customFormat="1" ht="12.75" customHeight="1">
      <c r="A38" s="533"/>
      <c r="B38" s="1216"/>
      <c r="C38" s="1216"/>
      <c r="D38" s="531"/>
      <c r="E38" s="586"/>
      <c r="F38" s="1216"/>
      <c r="G38" s="1216"/>
      <c r="H38" s="528"/>
      <c r="I38" s="528"/>
      <c r="J38" s="531"/>
      <c r="K38" s="558"/>
    </row>
    <row r="39" spans="1:13" s="1254" customFormat="1" ht="12.75" customHeight="1">
      <c r="A39" s="533"/>
      <c r="B39" s="1216"/>
      <c r="C39" s="1216"/>
      <c r="D39" s="531"/>
      <c r="E39" s="586"/>
      <c r="F39" s="1216"/>
      <c r="G39" s="1216"/>
      <c r="H39" s="528"/>
      <c r="I39" s="528"/>
      <c r="J39" s="531"/>
      <c r="K39" s="558"/>
    </row>
    <row r="40" spans="1:13" s="1254" customFormat="1" ht="12.75" customHeight="1">
      <c r="A40" s="533"/>
      <c r="B40" s="1216"/>
      <c r="C40" s="1216"/>
      <c r="D40" s="531"/>
      <c r="E40" s="586"/>
      <c r="F40" s="1216"/>
      <c r="G40" s="1216"/>
      <c r="H40" s="528"/>
      <c r="I40" s="528"/>
      <c r="J40" s="531"/>
      <c r="K40" s="558"/>
    </row>
    <row r="41" spans="1:13" s="1254" customFormat="1" ht="12.75" customHeight="1">
      <c r="A41" s="533"/>
      <c r="B41" s="1216"/>
      <c r="C41" s="1216"/>
      <c r="D41" s="531"/>
      <c r="E41" s="586"/>
      <c r="F41" s="1216"/>
      <c r="G41" s="1216"/>
      <c r="H41" s="528"/>
      <c r="I41" s="528"/>
      <c r="J41" s="531"/>
      <c r="K41" s="558"/>
    </row>
    <row r="42" spans="1:13" s="1254" customFormat="1" ht="12.75" customHeight="1">
      <c r="A42" s="533"/>
      <c r="B42" s="1216"/>
      <c r="C42" s="1216"/>
      <c r="D42" s="531"/>
      <c r="E42" s="586"/>
      <c r="F42" s="1216"/>
      <c r="G42" s="1216"/>
      <c r="H42" s="528"/>
      <c r="I42" s="528"/>
      <c r="J42" s="531"/>
      <c r="K42" s="558"/>
    </row>
    <row r="43" spans="1:13" s="1254" customFormat="1" ht="12.75" customHeight="1">
      <c r="A43" s="533"/>
      <c r="B43" s="1216"/>
      <c r="C43" s="1216"/>
      <c r="D43" s="531"/>
      <c r="E43" s="586"/>
      <c r="F43" s="1216"/>
      <c r="G43" s="1216"/>
      <c r="H43" s="528"/>
      <c r="I43" s="528"/>
      <c r="J43" s="531"/>
      <c r="K43" s="558"/>
    </row>
    <row r="44" spans="1:13" s="1254" customFormat="1" ht="12.75" customHeight="1">
      <c r="A44" s="167"/>
      <c r="B44" s="168"/>
      <c r="C44" s="169"/>
      <c r="D44" s="169"/>
      <c r="E44" s="169"/>
      <c r="F44" s="169"/>
      <c r="G44" s="169"/>
      <c r="H44" s="1255"/>
      <c r="I44" s="168"/>
      <c r="J44" s="170"/>
    </row>
    <row r="45" spans="1:13" s="1254" customFormat="1" ht="12.75" customHeight="1">
      <c r="A45" s="167"/>
      <c r="B45" s="168"/>
      <c r="C45" s="169"/>
      <c r="D45" s="169"/>
      <c r="E45" s="169"/>
      <c r="F45" s="169"/>
      <c r="G45" s="169"/>
      <c r="H45" s="1255"/>
      <c r="I45" s="168"/>
      <c r="J45" s="170"/>
    </row>
    <row r="46" spans="1:13" s="1254" customFormat="1" ht="12.75" customHeight="1">
      <c r="A46" s="167"/>
      <c r="B46" s="168"/>
      <c r="C46" s="169"/>
      <c r="D46" s="169"/>
      <c r="E46" s="169"/>
      <c r="F46" s="169"/>
      <c r="G46" s="169"/>
      <c r="H46" s="1255"/>
      <c r="I46" s="168"/>
      <c r="J46" s="170"/>
    </row>
    <row r="47" spans="1:13" s="1254" customFormat="1" ht="12.75" customHeight="1">
      <c r="A47" s="533"/>
      <c r="B47" s="1216"/>
      <c r="C47" s="1510" t="s">
        <v>1556</v>
      </c>
      <c r="D47" s="1510"/>
      <c r="E47" s="1510"/>
      <c r="F47" s="1510"/>
      <c r="G47" s="1510"/>
      <c r="H47" s="1510"/>
      <c r="I47" s="1217"/>
      <c r="J47" s="1217"/>
      <c r="K47" s="1256"/>
      <c r="L47" s="1256"/>
      <c r="M47" s="1256"/>
    </row>
    <row r="48" spans="1:13" s="1254" customFormat="1" ht="12.75" customHeight="1">
      <c r="A48" s="533"/>
      <c r="B48" s="1216"/>
      <c r="C48" s="1510"/>
      <c r="D48" s="1510"/>
      <c r="E48" s="1510"/>
      <c r="F48" s="1510"/>
      <c r="G48" s="1510"/>
      <c r="H48" s="1510"/>
      <c r="I48" s="1218"/>
      <c r="J48" s="1218"/>
      <c r="K48" s="1218"/>
      <c r="L48" s="1218"/>
      <c r="M48" s="1218"/>
    </row>
    <row r="49" spans="1:11" s="1254" customFormat="1" ht="12.75" customHeight="1">
      <c r="A49" s="533"/>
      <c r="B49" s="1216"/>
      <c r="C49" s="1216"/>
      <c r="D49" s="531"/>
      <c r="E49" s="586"/>
      <c r="F49" s="1216"/>
      <c r="G49" s="1216"/>
      <c r="H49" s="528"/>
      <c r="I49" s="528"/>
      <c r="J49" s="531"/>
      <c r="K49" s="558"/>
    </row>
    <row r="50" spans="1:11" s="1254" customFormat="1" ht="32.25" customHeight="1"/>
    <row r="51" spans="1:11" ht="9" customHeight="1">
      <c r="A51" s="6"/>
      <c r="B51" s="7"/>
      <c r="C51" s="1511">
        <f>$A$1</f>
        <v>0</v>
      </c>
      <c r="D51" s="1511"/>
      <c r="E51" s="1511"/>
      <c r="F51" s="1511"/>
      <c r="G51" s="1511"/>
      <c r="H51" s="1511"/>
      <c r="I51" s="1511"/>
      <c r="J51" s="1511"/>
      <c r="K51" s="1511"/>
    </row>
    <row r="52" spans="1:11" ht="12.75" customHeight="1">
      <c r="A52" s="6"/>
      <c r="B52" s="7"/>
      <c r="C52" s="1511">
        <f>$A$2</f>
        <v>0</v>
      </c>
      <c r="D52" s="1511"/>
      <c r="E52" s="1511"/>
      <c r="F52" s="1511"/>
      <c r="G52" s="1511"/>
      <c r="H52" s="1511"/>
      <c r="I52" s="1511"/>
      <c r="J52" s="1511"/>
      <c r="K52" s="1511"/>
    </row>
    <row r="53" spans="1:11" ht="12.75" customHeight="1">
      <c r="A53" s="6"/>
      <c r="B53" s="7"/>
      <c r="C53" s="1511">
        <f>$A$3</f>
        <v>0</v>
      </c>
      <c r="D53" s="1511"/>
      <c r="E53" s="1511"/>
      <c r="F53" s="1511"/>
      <c r="G53" s="1511"/>
      <c r="H53" s="1511"/>
      <c r="I53" s="1511"/>
      <c r="J53" s="1511"/>
      <c r="K53" s="1511"/>
    </row>
    <row r="54" spans="1:11" ht="41.25" customHeight="1">
      <c r="A54" s="1505" t="str">
        <f>$A$22</f>
        <v>Открытый Кубок СибГУ</v>
      </c>
      <c r="B54" s="1505"/>
      <c r="C54" s="1505"/>
      <c r="D54" s="1505"/>
      <c r="E54" s="1505"/>
      <c r="F54" s="1505"/>
      <c r="G54" s="1505"/>
      <c r="H54" s="1505"/>
      <c r="I54" s="1505"/>
      <c r="J54" s="1505"/>
      <c r="K54" s="1505"/>
    </row>
    <row r="55" spans="1:11" ht="21" customHeight="1">
      <c r="A55" s="1512" t="str">
        <f>$A$23</f>
        <v>по подводному спорту (1460008511Я) (плавание в ластах)</v>
      </c>
      <c r="B55" s="1513"/>
      <c r="C55" s="1513"/>
      <c r="D55" s="1513"/>
      <c r="E55" s="1513"/>
      <c r="F55" s="1513"/>
      <c r="G55" s="1513"/>
      <c r="H55" s="1513"/>
      <c r="I55" s="1513"/>
      <c r="J55" s="1513"/>
      <c r="K55" s="1513"/>
    </row>
    <row r="56" spans="1:11" ht="29.25" customHeight="1">
      <c r="A56" s="1508" t="s">
        <v>1700</v>
      </c>
      <c r="B56" s="1508"/>
      <c r="C56" s="1508"/>
      <c r="D56" s="9"/>
      <c r="E56" s="1201"/>
      <c r="F56" s="1509" t="str">
        <f>$C$47</f>
        <v>г. Красноярск, бассейн ДВС СибГУ, 50 м</v>
      </c>
      <c r="G56" s="1509"/>
      <c r="H56" s="1509"/>
      <c r="I56" s="1509"/>
      <c r="J56" s="1509"/>
    </row>
    <row r="57" spans="1:11" ht="20.25" customHeight="1">
      <c r="A57" s="1519" t="s">
        <v>1558</v>
      </c>
      <c r="B57" s="1519"/>
      <c r="C57" s="1519"/>
      <c r="D57" s="1519"/>
      <c r="E57" s="1519"/>
      <c r="F57" s="1519"/>
      <c r="G57" s="1519"/>
      <c r="H57" s="1519"/>
      <c r="I57" s="1519"/>
      <c r="J57" s="1519"/>
      <c r="K57" s="1519"/>
    </row>
    <row r="58" spans="1:11" ht="27" customHeight="1">
      <c r="A58" s="1257" t="s">
        <v>0</v>
      </c>
      <c r="B58" s="1537" t="s">
        <v>1559</v>
      </c>
      <c r="C58" s="1537"/>
      <c r="D58" s="1538"/>
      <c r="E58" s="1539" t="s">
        <v>1560</v>
      </c>
      <c r="F58" s="1537"/>
      <c r="G58" s="1537"/>
      <c r="H58" s="1258" t="s">
        <v>1561</v>
      </c>
      <c r="I58" s="1540" t="s">
        <v>1562</v>
      </c>
      <c r="J58" s="1541"/>
      <c r="K58" s="1541"/>
    </row>
    <row r="59" spans="1:11" ht="9" customHeight="1">
      <c r="A59" s="1259"/>
      <c r="B59" s="1259"/>
      <c r="C59" s="1260"/>
      <c r="D59" s="1260"/>
      <c r="E59" s="1260"/>
      <c r="F59" s="1259"/>
      <c r="G59" s="1260"/>
      <c r="H59" s="1260"/>
      <c r="I59" s="1261"/>
      <c r="J59" s="1260"/>
      <c r="K59" s="1262"/>
    </row>
    <row r="60" spans="1:11" ht="15" customHeight="1">
      <c r="A60" s="1263">
        <v>1</v>
      </c>
      <c r="B60" s="1264" t="s">
        <v>2</v>
      </c>
      <c r="C60" s="1263"/>
      <c r="D60" s="586"/>
      <c r="E60" s="13" t="s">
        <v>1563</v>
      </c>
      <c r="F60" s="15"/>
      <c r="G60" s="1263"/>
      <c r="H60" s="1265" t="s">
        <v>1564</v>
      </c>
      <c r="I60" s="13" t="s">
        <v>1565</v>
      </c>
      <c r="J60" s="1263"/>
      <c r="K60" s="1263"/>
    </row>
    <row r="61" spans="1:11" ht="15" customHeight="1">
      <c r="A61" s="1263">
        <v>2</v>
      </c>
      <c r="B61" s="1264" t="s">
        <v>1566</v>
      </c>
      <c r="C61" s="1263"/>
      <c r="D61" s="586"/>
      <c r="E61" s="13" t="s">
        <v>1567</v>
      </c>
      <c r="F61" s="15"/>
      <c r="G61" s="1263"/>
      <c r="H61" s="1265"/>
      <c r="I61" s="13" t="s">
        <v>1565</v>
      </c>
      <c r="J61" s="586"/>
      <c r="K61" s="586"/>
    </row>
    <row r="62" spans="1:11">
      <c r="A62" s="1263">
        <v>3</v>
      </c>
      <c r="B62" s="1264" t="s">
        <v>1568</v>
      </c>
      <c r="C62" s="1263"/>
      <c r="D62" s="586"/>
      <c r="E62" s="13" t="s">
        <v>1569</v>
      </c>
      <c r="F62" s="15"/>
      <c r="G62" s="1263"/>
      <c r="H62" s="1265" t="s">
        <v>1564</v>
      </c>
      <c r="I62" s="13" t="s">
        <v>1565</v>
      </c>
      <c r="J62" s="586"/>
      <c r="K62" s="586"/>
    </row>
    <row r="63" spans="1:11">
      <c r="A63" s="1263">
        <v>4</v>
      </c>
      <c r="B63" s="1264" t="s">
        <v>1570</v>
      </c>
      <c r="C63" s="1263"/>
      <c r="D63" s="586"/>
      <c r="E63" s="13" t="s">
        <v>1571</v>
      </c>
      <c r="F63" s="15"/>
      <c r="G63" s="1263"/>
      <c r="H63" s="1265" t="s">
        <v>1572</v>
      </c>
      <c r="I63" s="13" t="s">
        <v>1565</v>
      </c>
      <c r="J63" s="586"/>
      <c r="K63" s="586"/>
    </row>
    <row r="64" spans="1:11" ht="15" customHeight="1">
      <c r="A64" s="1263">
        <v>5</v>
      </c>
      <c r="B64" s="1264" t="s">
        <v>1573</v>
      </c>
      <c r="C64" s="1263"/>
      <c r="D64" s="586"/>
      <c r="E64" s="13" t="s">
        <v>1574</v>
      </c>
      <c r="F64" s="15"/>
      <c r="G64" s="1263"/>
      <c r="H64" s="1265" t="s">
        <v>1564</v>
      </c>
      <c r="I64" s="13" t="s">
        <v>1565</v>
      </c>
      <c r="J64" s="1263"/>
      <c r="K64" s="1263"/>
    </row>
    <row r="65" spans="1:11" ht="15" customHeight="1">
      <c r="A65" s="1263">
        <v>6</v>
      </c>
      <c r="B65" s="1264" t="s">
        <v>1575</v>
      </c>
      <c r="C65" s="1263"/>
      <c r="D65" s="586"/>
      <c r="E65" s="13" t="s">
        <v>1576</v>
      </c>
      <c r="F65" s="15"/>
      <c r="G65" s="1263"/>
      <c r="H65" s="1265" t="s">
        <v>1577</v>
      </c>
      <c r="I65" s="13" t="s">
        <v>1565</v>
      </c>
      <c r="J65" s="1263"/>
      <c r="K65" s="1263"/>
    </row>
    <row r="66" spans="1:11" ht="15" customHeight="1">
      <c r="A66" s="1263">
        <v>7</v>
      </c>
      <c r="B66" s="1264" t="s">
        <v>1578</v>
      </c>
      <c r="C66" s="1263"/>
      <c r="D66" s="586"/>
      <c r="E66" s="13" t="s">
        <v>1579</v>
      </c>
      <c r="F66" s="15"/>
      <c r="G66" s="1263"/>
      <c r="H66" s="1265" t="s">
        <v>1580</v>
      </c>
      <c r="I66" s="13" t="s">
        <v>1565</v>
      </c>
      <c r="J66" s="586"/>
      <c r="K66" s="586"/>
    </row>
    <row r="67" spans="1:11" ht="15" customHeight="1">
      <c r="A67" s="1263">
        <v>8</v>
      </c>
      <c r="B67" s="1264" t="s">
        <v>1581</v>
      </c>
      <c r="C67" s="1263"/>
      <c r="D67" s="586"/>
      <c r="E67" s="13" t="s">
        <v>1582</v>
      </c>
      <c r="F67" s="15"/>
      <c r="G67" s="1263"/>
      <c r="H67" s="1265" t="s">
        <v>1580</v>
      </c>
      <c r="I67" s="13" t="s">
        <v>1565</v>
      </c>
      <c r="J67" s="1263"/>
      <c r="K67" s="1263"/>
    </row>
    <row r="68" spans="1:11" ht="15" customHeight="1">
      <c r="A68" s="1263">
        <v>9</v>
      </c>
      <c r="B68" s="1264" t="s">
        <v>1583</v>
      </c>
      <c r="C68" s="1263"/>
      <c r="D68" s="586"/>
      <c r="E68" s="13" t="s">
        <v>1584</v>
      </c>
      <c r="F68" s="15"/>
      <c r="G68" s="1263"/>
      <c r="H68" s="1265" t="s">
        <v>1572</v>
      </c>
      <c r="I68" s="13" t="s">
        <v>1565</v>
      </c>
      <c r="J68" s="1263"/>
      <c r="K68" s="1263"/>
    </row>
    <row r="69" spans="1:11" ht="15" customHeight="1">
      <c r="A69" s="1263">
        <v>10</v>
      </c>
      <c r="B69" s="1264" t="s">
        <v>1585</v>
      </c>
      <c r="C69" s="1263"/>
      <c r="D69" s="586"/>
      <c r="E69" s="13" t="s">
        <v>1586</v>
      </c>
      <c r="F69" s="15"/>
      <c r="G69" s="1263"/>
      <c r="H69" s="1265" t="s">
        <v>1587</v>
      </c>
      <c r="I69" s="13" t="s">
        <v>1565</v>
      </c>
      <c r="J69" s="1263"/>
      <c r="K69" s="1263"/>
    </row>
    <row r="70" spans="1:11" ht="15" customHeight="1">
      <c r="A70" s="1263">
        <v>11</v>
      </c>
      <c r="B70" s="1264" t="s">
        <v>1588</v>
      </c>
      <c r="C70" s="1263"/>
      <c r="D70" s="586"/>
      <c r="E70" s="13" t="s">
        <v>1589</v>
      </c>
      <c r="F70" s="15"/>
      <c r="G70" s="1263"/>
      <c r="H70" s="1265" t="s">
        <v>1564</v>
      </c>
      <c r="I70" s="13" t="s">
        <v>1565</v>
      </c>
      <c r="J70" s="1263"/>
      <c r="K70" s="1263"/>
    </row>
    <row r="71" spans="1:11" ht="15" customHeight="1">
      <c r="A71" s="1263">
        <v>12</v>
      </c>
      <c r="B71" s="1264" t="s">
        <v>1590</v>
      </c>
      <c r="C71" s="1263"/>
      <c r="D71" s="586"/>
      <c r="E71" s="13" t="s">
        <v>1591</v>
      </c>
      <c r="F71" s="15"/>
      <c r="G71" s="1263"/>
      <c r="H71" s="1265" t="s">
        <v>1564</v>
      </c>
      <c r="I71" s="13" t="s">
        <v>1565</v>
      </c>
      <c r="J71" s="1263"/>
      <c r="K71" s="1263"/>
    </row>
    <row r="72" spans="1:11" ht="15" customHeight="1">
      <c r="A72" s="1263">
        <v>13</v>
      </c>
      <c r="B72" s="1264" t="s">
        <v>1592</v>
      </c>
      <c r="C72" s="1263"/>
      <c r="D72" s="586"/>
      <c r="E72" s="13" t="s">
        <v>1593</v>
      </c>
      <c r="F72" s="15"/>
      <c r="G72" s="1263"/>
      <c r="H72" s="1265" t="s">
        <v>1580</v>
      </c>
      <c r="I72" s="13" t="s">
        <v>1565</v>
      </c>
      <c r="J72" s="1263"/>
      <c r="K72" s="1263"/>
    </row>
    <row r="73" spans="1:11" ht="15" customHeight="1">
      <c r="A73" s="1263">
        <v>14</v>
      </c>
      <c r="B73" s="1264" t="s">
        <v>1594</v>
      </c>
      <c r="C73" s="1263"/>
      <c r="D73" s="586"/>
      <c r="E73" s="13" t="s">
        <v>1595</v>
      </c>
      <c r="F73" s="15"/>
      <c r="G73" s="1263"/>
      <c r="H73" s="1265" t="s">
        <v>1564</v>
      </c>
      <c r="I73" s="13" t="s">
        <v>1565</v>
      </c>
      <c r="J73" s="1263"/>
      <c r="K73" s="1263"/>
    </row>
    <row r="74" spans="1:11" ht="15" customHeight="1">
      <c r="A74" s="1263">
        <v>15</v>
      </c>
      <c r="B74" s="1264" t="s">
        <v>1594</v>
      </c>
      <c r="C74" s="1263"/>
      <c r="D74" s="586"/>
      <c r="E74" s="13" t="s">
        <v>1596</v>
      </c>
      <c r="F74" s="15"/>
      <c r="G74" s="1263"/>
      <c r="H74" s="1265" t="s">
        <v>1580</v>
      </c>
      <c r="I74" s="13" t="s">
        <v>1565</v>
      </c>
      <c r="J74" s="1263"/>
      <c r="K74" s="1263"/>
    </row>
    <row r="75" spans="1:11" ht="15" customHeight="1">
      <c r="A75" s="1263">
        <v>16</v>
      </c>
      <c r="B75" s="1264" t="s">
        <v>1594</v>
      </c>
      <c r="C75" s="1263"/>
      <c r="D75" s="586"/>
      <c r="E75" s="13" t="s">
        <v>1597</v>
      </c>
      <c r="F75" s="15"/>
      <c r="G75" s="1263"/>
      <c r="H75" s="1265" t="s">
        <v>1564</v>
      </c>
      <c r="I75" s="13" t="s">
        <v>1565</v>
      </c>
      <c r="J75" s="1263"/>
      <c r="K75" s="1263"/>
    </row>
    <row r="76" spans="1:11" ht="15" customHeight="1">
      <c r="A76" s="1263">
        <v>17</v>
      </c>
      <c r="B76" s="1264" t="s">
        <v>1594</v>
      </c>
      <c r="C76" s="1263"/>
      <c r="D76" s="586"/>
      <c r="E76" s="13" t="s">
        <v>1598</v>
      </c>
      <c r="F76" s="15"/>
      <c r="G76" s="1263"/>
      <c r="H76" s="1265" t="s">
        <v>1572</v>
      </c>
      <c r="I76" s="13" t="s">
        <v>1565</v>
      </c>
      <c r="J76" s="1263"/>
      <c r="K76" s="1263"/>
    </row>
    <row r="77" spans="1:11" ht="15" customHeight="1">
      <c r="A77" s="1263">
        <v>18</v>
      </c>
      <c r="B77" s="1264" t="s">
        <v>1594</v>
      </c>
      <c r="C77" s="1263"/>
      <c r="D77" s="586"/>
      <c r="E77" s="13" t="s">
        <v>1599</v>
      </c>
      <c r="F77" s="15"/>
      <c r="G77" s="1263"/>
      <c r="H77" s="1265" t="s">
        <v>1572</v>
      </c>
      <c r="I77" s="13" t="s">
        <v>1565</v>
      </c>
      <c r="J77" s="1263"/>
      <c r="K77" s="1263"/>
    </row>
    <row r="78" spans="1:11" ht="15" customHeight="1">
      <c r="A78" s="1263">
        <v>19</v>
      </c>
      <c r="B78" s="1264" t="s">
        <v>1594</v>
      </c>
      <c r="C78" s="1263"/>
      <c r="D78" s="586"/>
      <c r="E78" s="13" t="s">
        <v>1600</v>
      </c>
      <c r="F78" s="15"/>
      <c r="G78" s="1263"/>
      <c r="H78" s="1265" t="s">
        <v>1572</v>
      </c>
      <c r="I78" s="13" t="s">
        <v>1565</v>
      </c>
      <c r="J78" s="1263"/>
      <c r="K78" s="1263"/>
    </row>
    <row r="79" spans="1:11" ht="15" customHeight="1">
      <c r="A79" s="1263">
        <v>20</v>
      </c>
      <c r="B79" s="1264" t="s">
        <v>1601</v>
      </c>
      <c r="C79" s="1263"/>
      <c r="D79" s="586"/>
      <c r="E79" s="13" t="s">
        <v>1602</v>
      </c>
      <c r="F79" s="15"/>
      <c r="G79" s="1263"/>
      <c r="H79" s="1265" t="s">
        <v>1580</v>
      </c>
      <c r="I79" s="13" t="s">
        <v>1565</v>
      </c>
      <c r="J79" s="1263"/>
      <c r="K79" s="1263"/>
    </row>
    <row r="80" spans="1:11" ht="15" customHeight="1">
      <c r="A80" s="1263">
        <v>21</v>
      </c>
      <c r="B80" s="1264" t="s">
        <v>1603</v>
      </c>
      <c r="C80" s="1263"/>
      <c r="D80" s="586"/>
      <c r="E80" s="13" t="s">
        <v>1604</v>
      </c>
      <c r="F80" s="15"/>
      <c r="G80" s="1263"/>
      <c r="H80" s="1265" t="s">
        <v>1572</v>
      </c>
      <c r="I80" s="13" t="s">
        <v>1565</v>
      </c>
      <c r="J80" s="1263"/>
      <c r="K80" s="1263"/>
    </row>
    <row r="81" spans="1:11" ht="15" customHeight="1">
      <c r="A81" s="1263">
        <v>22</v>
      </c>
      <c r="B81" s="1264" t="s">
        <v>1605</v>
      </c>
      <c r="C81" s="1263"/>
      <c r="D81" s="586"/>
      <c r="E81" s="13" t="s">
        <v>1606</v>
      </c>
      <c r="F81" s="15"/>
      <c r="G81" s="1263"/>
      <c r="H81" s="1265" t="s">
        <v>1587</v>
      </c>
      <c r="I81" s="13" t="s">
        <v>1565</v>
      </c>
      <c r="J81" s="1263"/>
      <c r="K81" s="1263"/>
    </row>
    <row r="82" spans="1:11" ht="12.75" customHeight="1">
      <c r="A82" s="1263">
        <v>23</v>
      </c>
      <c r="B82" s="1264" t="s">
        <v>1605</v>
      </c>
      <c r="C82" s="1263"/>
      <c r="D82" s="586"/>
      <c r="E82" s="13" t="s">
        <v>1607</v>
      </c>
      <c r="F82" s="15"/>
      <c r="G82" s="1263"/>
      <c r="H82" s="1265" t="s">
        <v>1587</v>
      </c>
      <c r="I82" s="13" t="s">
        <v>1565</v>
      </c>
      <c r="J82" s="1141"/>
      <c r="K82" s="5"/>
    </row>
    <row r="83" spans="1:11" ht="15" customHeight="1">
      <c r="A83" s="1263">
        <v>24</v>
      </c>
      <c r="B83" s="1264" t="s">
        <v>1608</v>
      </c>
      <c r="C83" s="1263"/>
      <c r="D83" s="586"/>
      <c r="E83" s="13" t="s">
        <v>1609</v>
      </c>
      <c r="F83" s="15"/>
      <c r="G83" s="1263"/>
      <c r="H83" s="1265" t="s">
        <v>1587</v>
      </c>
      <c r="I83" s="13" t="s">
        <v>1565</v>
      </c>
      <c r="J83" s="1263"/>
      <c r="K83" s="1263"/>
    </row>
    <row r="84" spans="1:11" ht="15" customHeight="1">
      <c r="A84" s="1263">
        <v>25</v>
      </c>
      <c r="B84" s="1264" t="s">
        <v>1608</v>
      </c>
      <c r="C84" s="1263"/>
      <c r="D84" s="586"/>
      <c r="E84" s="13" t="s">
        <v>1610</v>
      </c>
      <c r="F84" s="15"/>
      <c r="G84" s="1263"/>
      <c r="H84" s="1265" t="s">
        <v>1587</v>
      </c>
      <c r="I84" s="13" t="s">
        <v>1565</v>
      </c>
      <c r="J84" s="1263"/>
      <c r="K84" s="1263"/>
    </row>
    <row r="85" spans="1:11" ht="15" customHeight="1">
      <c r="A85" s="1263">
        <v>26</v>
      </c>
      <c r="B85" s="1264" t="s">
        <v>1608</v>
      </c>
      <c r="C85" s="1263"/>
      <c r="D85" s="586"/>
      <c r="E85" s="13" t="s">
        <v>1611</v>
      </c>
      <c r="F85" s="15"/>
      <c r="G85" s="1263"/>
      <c r="H85" s="1265" t="s">
        <v>1564</v>
      </c>
      <c r="I85" s="13" t="s">
        <v>1565</v>
      </c>
      <c r="J85" s="1263"/>
      <c r="K85" s="1263"/>
    </row>
    <row r="86" spans="1:11" ht="15" customHeight="1">
      <c r="A86" s="1263">
        <v>27</v>
      </c>
      <c r="B86" s="1264" t="s">
        <v>1612</v>
      </c>
      <c r="C86" s="1263"/>
      <c r="D86" s="586"/>
      <c r="E86" s="13" t="s">
        <v>1613</v>
      </c>
      <c r="F86" s="15"/>
      <c r="G86" s="1263"/>
      <c r="H86" s="1265" t="s">
        <v>1577</v>
      </c>
      <c r="I86" s="13" t="s">
        <v>1565</v>
      </c>
      <c r="J86" s="1263"/>
      <c r="K86" s="1263"/>
    </row>
    <row r="87" spans="1:11" ht="15" customHeight="1">
      <c r="A87" s="1263"/>
      <c r="B87" s="1264"/>
      <c r="C87" s="1263"/>
      <c r="D87" s="586"/>
      <c r="E87" s="13"/>
      <c r="F87" s="15"/>
      <c r="G87" s="1263"/>
      <c r="H87" s="1265"/>
      <c r="I87" s="13"/>
      <c r="J87" s="1263"/>
      <c r="K87" s="1263"/>
    </row>
    <row r="88" spans="1:11" ht="15" customHeight="1">
      <c r="A88" s="1263"/>
      <c r="B88" s="1264"/>
      <c r="C88" s="1263"/>
      <c r="D88" s="586"/>
      <c r="E88" s="13"/>
      <c r="F88" s="15"/>
      <c r="G88" s="1263"/>
      <c r="H88" s="1265"/>
      <c r="I88" s="13"/>
      <c r="J88" s="1263"/>
      <c r="K88" s="1263"/>
    </row>
    <row r="89" spans="1:11" ht="15" customHeight="1">
      <c r="A89" s="1263"/>
      <c r="B89" s="1264"/>
      <c r="C89" s="1263"/>
      <c r="D89" s="586"/>
      <c r="E89" s="13"/>
      <c r="F89" s="15"/>
      <c r="G89" s="1263"/>
      <c r="H89" s="1265"/>
      <c r="I89" s="13"/>
      <c r="J89" s="1263"/>
      <c r="K89" s="1263"/>
    </row>
    <row r="90" spans="1:11" ht="15" customHeight="1">
      <c r="A90" s="1263"/>
      <c r="B90" s="1264"/>
      <c r="C90" s="364"/>
      <c r="D90" s="364"/>
      <c r="E90" s="13"/>
      <c r="F90" s="364"/>
      <c r="G90" s="364"/>
      <c r="H90" s="1265"/>
      <c r="I90" s="13"/>
      <c r="J90" s="1263"/>
      <c r="K90" s="1263"/>
    </row>
    <row r="91" spans="1:11" ht="15" customHeight="1">
      <c r="A91" s="1263"/>
      <c r="B91" s="1264"/>
      <c r="C91" s="364"/>
      <c r="D91" s="364"/>
      <c r="E91" s="13"/>
      <c r="F91" s="364"/>
      <c r="G91" s="364"/>
      <c r="H91" s="1265"/>
      <c r="I91" s="13"/>
      <c r="J91" s="1263"/>
      <c r="K91" s="1263"/>
    </row>
    <row r="92" spans="1:11" ht="15" customHeight="1">
      <c r="A92" s="1263"/>
      <c r="B92" s="1264"/>
      <c r="C92" s="1263"/>
      <c r="D92" s="586"/>
      <c r="E92" s="13"/>
      <c r="F92" s="15"/>
      <c r="G92" s="1263"/>
      <c r="H92" s="1265"/>
      <c r="I92" s="13"/>
      <c r="J92" s="1263"/>
      <c r="K92" s="1263"/>
    </row>
    <row r="93" spans="1:11" ht="15" customHeight="1">
      <c r="J93" s="1263"/>
      <c r="K93" s="1263"/>
    </row>
    <row r="94" spans="1:11" ht="15" customHeight="1">
      <c r="A94" s="1263"/>
      <c r="B94" s="1264"/>
      <c r="C94" s="1263"/>
      <c r="J94" s="1263"/>
      <c r="K94" s="1263"/>
    </row>
    <row r="95" spans="1:11">
      <c r="A95" s="1204"/>
      <c r="B95" s="1514"/>
      <c r="C95" s="1514"/>
      <c r="D95" s="1514"/>
      <c r="E95" s="13"/>
      <c r="F95" s="1266"/>
      <c r="G95" s="1267"/>
      <c r="H95" s="1265"/>
      <c r="I95" s="13"/>
      <c r="J95" s="586"/>
      <c r="K95" s="586"/>
    </row>
    <row r="96" spans="1:11" ht="11.25" customHeight="1">
      <c r="A96" s="6"/>
      <c r="B96" s="7"/>
      <c r="C96" s="1511">
        <f>$A$1</f>
        <v>0</v>
      </c>
      <c r="D96" s="1511"/>
      <c r="E96" s="1511"/>
      <c r="F96" s="1511"/>
      <c r="G96" s="1511"/>
      <c r="H96" s="1511"/>
      <c r="I96" s="1511"/>
      <c r="J96" s="1511"/>
      <c r="K96" s="1511"/>
    </row>
    <row r="97" spans="1:11" ht="11.25" customHeight="1">
      <c r="A97" s="6"/>
      <c r="B97" s="7"/>
      <c r="C97" s="1511">
        <f>$A$2</f>
        <v>0</v>
      </c>
      <c r="D97" s="1511"/>
      <c r="E97" s="1511"/>
      <c r="F97" s="1511"/>
      <c r="G97" s="1511"/>
      <c r="H97" s="1511"/>
      <c r="I97" s="1511"/>
      <c r="J97" s="1511"/>
      <c r="K97" s="1511"/>
    </row>
    <row r="98" spans="1:11" ht="11.25" customHeight="1">
      <c r="A98" s="6"/>
      <c r="B98" s="7"/>
      <c r="C98" s="1511">
        <f>$A$3</f>
        <v>0</v>
      </c>
      <c r="D98" s="1511"/>
      <c r="E98" s="1511"/>
      <c r="F98" s="1511"/>
      <c r="G98" s="1511"/>
      <c r="H98" s="1511"/>
      <c r="I98" s="1511"/>
      <c r="J98" s="1511"/>
      <c r="K98" s="1511"/>
    </row>
    <row r="99" spans="1:11" ht="45.75" customHeight="1">
      <c r="A99" s="1505" t="s">
        <v>1682</v>
      </c>
      <c r="B99" s="1505"/>
      <c r="C99" s="1505"/>
      <c r="D99" s="1505"/>
      <c r="E99" s="1505"/>
      <c r="F99" s="1505"/>
      <c r="G99" s="1505"/>
      <c r="H99" s="1505"/>
      <c r="I99" s="1505"/>
      <c r="J99" s="1505"/>
      <c r="K99" s="1505"/>
    </row>
    <row r="100" spans="1:11" ht="21" customHeight="1">
      <c r="A100" s="1507" t="s">
        <v>258</v>
      </c>
      <c r="B100" s="1507"/>
      <c r="C100" s="1507"/>
      <c r="D100" s="1507"/>
      <c r="E100" s="1507"/>
      <c r="F100" s="1507"/>
      <c r="G100" s="1507"/>
      <c r="H100" s="1507"/>
      <c r="I100" s="1507"/>
      <c r="J100" s="1507"/>
      <c r="K100" s="1507"/>
    </row>
    <row r="101" spans="1:11" ht="25.5" customHeight="1">
      <c r="A101" s="13" t="s">
        <v>1428</v>
      </c>
      <c r="B101" s="1142"/>
      <c r="C101" s="1140"/>
      <c r="D101" s="9"/>
      <c r="E101" s="1201"/>
      <c r="F101" s="1525" t="str">
        <f>$C$47</f>
        <v>г. Красноярск, бассейн ДВС СибГУ, 50 м</v>
      </c>
      <c r="G101" s="1525"/>
      <c r="H101" s="1525"/>
      <c r="I101" s="1525"/>
      <c r="J101" s="1268"/>
    </row>
    <row r="102" spans="1:11" ht="16.5" customHeight="1">
      <c r="A102" s="1526" t="s">
        <v>1614</v>
      </c>
      <c r="B102" s="1526"/>
      <c r="C102" s="1526"/>
      <c r="D102" s="1526"/>
      <c r="E102" s="1526"/>
      <c r="F102" s="1526"/>
      <c r="G102" s="1526"/>
      <c r="H102" s="1526"/>
      <c r="I102" s="1526"/>
      <c r="J102" s="1526"/>
      <c r="K102" s="1526"/>
    </row>
    <row r="103" spans="1:11" ht="17.25" customHeight="1">
      <c r="A103" s="1519" t="s">
        <v>1615</v>
      </c>
      <c r="B103" s="1519"/>
      <c r="C103" s="1519"/>
      <c r="D103" s="1519"/>
      <c r="E103" s="1519"/>
      <c r="F103" s="1519"/>
      <c r="G103" s="1519"/>
      <c r="H103" s="1519"/>
      <c r="I103" s="1519"/>
      <c r="J103" s="1519"/>
      <c r="K103" s="1519"/>
    </row>
    <row r="104" spans="1:11" ht="21" customHeight="1">
      <c r="A104" s="1527" t="s">
        <v>16</v>
      </c>
      <c r="B104" s="1529" t="s">
        <v>5</v>
      </c>
      <c r="C104" s="1515" t="s">
        <v>1616</v>
      </c>
      <c r="D104" s="1531"/>
      <c r="E104" s="1529" t="s">
        <v>4</v>
      </c>
      <c r="F104" s="1515" t="s">
        <v>6</v>
      </c>
      <c r="G104" s="1531"/>
      <c r="H104" s="1533" t="s">
        <v>17</v>
      </c>
      <c r="I104" s="1534"/>
      <c r="J104" s="1535" t="s">
        <v>1617</v>
      </c>
      <c r="K104" s="1515" t="s">
        <v>18</v>
      </c>
    </row>
    <row r="105" spans="1:11" ht="12" customHeight="1">
      <c r="A105" s="1528"/>
      <c r="B105" s="1530"/>
      <c r="C105" s="1516"/>
      <c r="D105" s="1532"/>
      <c r="E105" s="1530"/>
      <c r="F105" s="1516"/>
      <c r="G105" s="1532"/>
      <c r="H105" s="1269" t="s">
        <v>1618</v>
      </c>
      <c r="I105" s="1269" t="s">
        <v>1619</v>
      </c>
      <c r="J105" s="1536"/>
      <c r="K105" s="1516"/>
    </row>
    <row r="106" spans="1:11" ht="14.25" customHeight="1"/>
    <row r="107" spans="1:11" ht="14.25" customHeight="1">
      <c r="A107" s="1210"/>
      <c r="B107" s="1210"/>
      <c r="C107" s="1286" t="s">
        <v>1683</v>
      </c>
      <c r="D107" s="1286"/>
      <c r="E107" s="1287"/>
      <c r="F107" s="1286"/>
      <c r="G107" s="524"/>
      <c r="H107" s="537"/>
      <c r="I107" s="529"/>
    </row>
    <row r="108" spans="1:11" ht="14.25" customHeight="1">
      <c r="A108" s="1210"/>
      <c r="B108" s="1210"/>
      <c r="C108" s="1171"/>
      <c r="D108" s="1171"/>
      <c r="E108" s="1172"/>
      <c r="F108" s="1171"/>
      <c r="G108" s="524"/>
      <c r="H108" s="537"/>
      <c r="I108" s="529"/>
    </row>
    <row r="109" spans="1:11" ht="14.25" customHeight="1">
      <c r="A109" s="1130">
        <v>1</v>
      </c>
      <c r="B109" s="1207" t="s">
        <v>23</v>
      </c>
      <c r="C109" s="1205" t="s">
        <v>552</v>
      </c>
      <c r="D109" s="1204"/>
      <c r="E109" s="1206">
        <v>1993</v>
      </c>
      <c r="F109" s="1205" t="s">
        <v>1705</v>
      </c>
      <c r="G109" s="766"/>
      <c r="H109" s="1160"/>
      <c r="I109" s="1138">
        <v>41.42</v>
      </c>
      <c r="J109" s="747" t="s">
        <v>29</v>
      </c>
      <c r="K109" s="1160"/>
    </row>
    <row r="110" spans="1:11" ht="14.25" customHeight="1">
      <c r="A110" s="1130">
        <v>2</v>
      </c>
      <c r="B110" s="1207" t="s">
        <v>27</v>
      </c>
      <c r="C110" s="1205" t="s">
        <v>1437</v>
      </c>
      <c r="D110" s="1204"/>
      <c r="E110" s="1206">
        <v>2002</v>
      </c>
      <c r="F110" s="1205" t="s">
        <v>1706</v>
      </c>
      <c r="G110" s="766"/>
      <c r="H110" s="1160"/>
      <c r="I110" s="1138">
        <v>42.3</v>
      </c>
      <c r="J110" s="747" t="str">
        <f t="shared" ref="J110:J118" si="0">IF(ISBLANK(I110)," ",IF(ISTEXT(I110)," ",IF(I110&lt;=40,"МСМК",IF(I110&lt;=42,"МС",IF(I110&lt;=43.8,"КМС",IF(I110&lt;=47,"I",IF(I110&lt;=51,"II",IF(I110&lt;=55.2,"III",IF(I110&lt;=59.8,"I юн",IF(I110&lt;=105.4,"II юн",IF(I110&lt;=110.4,"III юн","б/р")))))))))))</f>
        <v>КМС</v>
      </c>
      <c r="K110" s="765"/>
    </row>
    <row r="111" spans="1:11" ht="14.25" customHeight="1">
      <c r="A111" s="1130">
        <v>3</v>
      </c>
      <c r="B111" s="1207" t="s">
        <v>25</v>
      </c>
      <c r="C111" s="1167" t="s">
        <v>1534</v>
      </c>
      <c r="D111" s="1155"/>
      <c r="E111" s="1194">
        <v>2003</v>
      </c>
      <c r="F111" s="1195" t="s">
        <v>1707</v>
      </c>
      <c r="G111" s="766"/>
      <c r="H111" s="1163"/>
      <c r="I111" s="1138">
        <v>43.55</v>
      </c>
      <c r="J111" s="747" t="str">
        <f t="shared" si="0"/>
        <v>КМС</v>
      </c>
      <c r="K111" s="1160"/>
    </row>
    <row r="112" spans="1:11" ht="14.25" customHeight="1">
      <c r="A112" s="1130">
        <v>4</v>
      </c>
      <c r="B112" s="1168" t="s">
        <v>27</v>
      </c>
      <c r="C112" s="1205" t="s">
        <v>666</v>
      </c>
      <c r="D112" s="1204"/>
      <c r="E112" s="1206">
        <v>2003</v>
      </c>
      <c r="F112" s="1205" t="s">
        <v>1699</v>
      </c>
      <c r="G112" s="766"/>
      <c r="H112" s="1160"/>
      <c r="I112" s="1138">
        <v>43.77</v>
      </c>
      <c r="J112" s="747" t="str">
        <f t="shared" si="0"/>
        <v>КМС</v>
      </c>
      <c r="K112" s="1160"/>
    </row>
    <row r="113" spans="1:11" ht="14.25" customHeight="1">
      <c r="A113" s="1130">
        <v>5</v>
      </c>
      <c r="B113" s="1207" t="s">
        <v>27</v>
      </c>
      <c r="C113" s="1205" t="s">
        <v>1413</v>
      </c>
      <c r="D113" s="1204"/>
      <c r="E113" s="1206">
        <v>1998</v>
      </c>
      <c r="F113" s="1205" t="s">
        <v>1691</v>
      </c>
      <c r="G113" s="766"/>
      <c r="H113" s="1160"/>
      <c r="I113" s="1138">
        <v>44.15</v>
      </c>
      <c r="J113" s="747" t="str">
        <f t="shared" si="0"/>
        <v>I</v>
      </c>
      <c r="K113" s="1160"/>
    </row>
    <row r="114" spans="1:11" ht="14.25" customHeight="1">
      <c r="A114" s="1130">
        <v>6</v>
      </c>
      <c r="B114" s="1207" t="s">
        <v>27</v>
      </c>
      <c r="C114" s="1205" t="s">
        <v>567</v>
      </c>
      <c r="D114" s="1204"/>
      <c r="E114" s="1206">
        <v>1999</v>
      </c>
      <c r="F114" s="1205" t="s">
        <v>1690</v>
      </c>
      <c r="G114" s="766"/>
      <c r="H114" s="1160"/>
      <c r="I114" s="1138">
        <v>44.31</v>
      </c>
      <c r="J114" s="747" t="str">
        <f t="shared" si="0"/>
        <v>I</v>
      </c>
      <c r="K114" s="1160"/>
    </row>
    <row r="115" spans="1:11" ht="14.25" customHeight="1">
      <c r="A115" s="1130">
        <v>7</v>
      </c>
      <c r="B115" s="1207" t="s">
        <v>29</v>
      </c>
      <c r="C115" s="1205" t="s">
        <v>1441</v>
      </c>
      <c r="D115" s="1204"/>
      <c r="E115" s="1206">
        <v>2003</v>
      </c>
      <c r="F115" s="1205" t="s">
        <v>1699</v>
      </c>
      <c r="G115" s="766"/>
      <c r="H115" s="1160"/>
      <c r="I115" s="1138">
        <v>47.32</v>
      </c>
      <c r="J115" s="747" t="str">
        <f t="shared" si="0"/>
        <v>II</v>
      </c>
      <c r="K115" s="1210"/>
    </row>
    <row r="116" spans="1:11" ht="14.25" customHeight="1">
      <c r="A116" s="1130">
        <v>8</v>
      </c>
      <c r="B116" s="1207" t="s">
        <v>1</v>
      </c>
      <c r="C116" s="1205" t="s">
        <v>1435</v>
      </c>
      <c r="D116" s="1204"/>
      <c r="E116" s="1206">
        <v>2003</v>
      </c>
      <c r="F116" s="1205" t="s">
        <v>1699</v>
      </c>
      <c r="G116" s="766"/>
      <c r="H116" s="1160"/>
      <c r="I116" s="1138">
        <v>49.39</v>
      </c>
      <c r="J116" s="747" t="str">
        <f t="shared" si="0"/>
        <v>II</v>
      </c>
      <c r="K116" s="1160"/>
    </row>
    <row r="117" spans="1:11" ht="14.25" customHeight="1">
      <c r="A117" s="1130">
        <v>9</v>
      </c>
      <c r="B117" s="1207" t="s">
        <v>1</v>
      </c>
      <c r="C117" s="1205" t="s">
        <v>1432</v>
      </c>
      <c r="D117" s="1204"/>
      <c r="E117" s="1206">
        <v>2003</v>
      </c>
      <c r="F117" s="1205" t="s">
        <v>1690</v>
      </c>
      <c r="G117" s="766"/>
      <c r="H117" s="1160"/>
      <c r="I117" s="1138">
        <v>51.01</v>
      </c>
      <c r="J117" s="747" t="str">
        <f t="shared" si="0"/>
        <v>III</v>
      </c>
      <c r="K117" s="1160"/>
    </row>
    <row r="118" spans="1:11" ht="14.25" customHeight="1">
      <c r="A118" s="1130">
        <v>10</v>
      </c>
      <c r="B118" s="1207" t="s">
        <v>1</v>
      </c>
      <c r="C118" s="1173" t="s">
        <v>1436</v>
      </c>
      <c r="D118" s="1174"/>
      <c r="E118" s="1206">
        <v>2003</v>
      </c>
      <c r="F118" s="1175" t="s">
        <v>1707</v>
      </c>
      <c r="G118" s="766"/>
      <c r="H118" s="1176"/>
      <c r="I118" s="1138">
        <v>54.13</v>
      </c>
      <c r="J118" s="747" t="str">
        <f t="shared" si="0"/>
        <v>III</v>
      </c>
      <c r="K118" s="1160"/>
    </row>
    <row r="119" spans="1:11" ht="14.25" customHeight="1">
      <c r="A119" s="1130"/>
      <c r="B119" s="1207" t="s">
        <v>29</v>
      </c>
      <c r="C119" s="1205" t="s">
        <v>1434</v>
      </c>
      <c r="D119" s="1204"/>
      <c r="E119" s="1206">
        <v>2003</v>
      </c>
      <c r="F119" s="1205" t="s">
        <v>1699</v>
      </c>
      <c r="G119" s="766"/>
      <c r="H119" s="1160"/>
      <c r="I119" s="1138" t="s">
        <v>1622</v>
      </c>
      <c r="J119" s="1270"/>
      <c r="K119" s="1160"/>
    </row>
    <row r="120" spans="1:11" ht="14.25" customHeight="1">
      <c r="A120" s="1130"/>
      <c r="B120" s="1207"/>
      <c r="C120" s="1205"/>
      <c r="D120" s="1204"/>
      <c r="E120" s="1206"/>
      <c r="F120" s="1205"/>
      <c r="G120" s="766"/>
      <c r="H120" s="1160"/>
      <c r="J120" s="1270"/>
      <c r="K120" s="1160"/>
    </row>
    <row r="121" spans="1:11" ht="14.25" customHeight="1">
      <c r="A121" s="1130"/>
      <c r="B121" s="1207"/>
      <c r="C121" s="1143" t="s">
        <v>1684</v>
      </c>
      <c r="D121" s="1284"/>
      <c r="E121" s="1285"/>
      <c r="F121" s="1143"/>
      <c r="G121" s="524"/>
      <c r="H121" s="1160"/>
      <c r="J121" s="1270"/>
      <c r="K121" s="1196"/>
    </row>
    <row r="122" spans="1:11" ht="14.25" customHeight="1">
      <c r="A122" s="1130"/>
      <c r="B122" s="1207"/>
      <c r="C122" s="1205"/>
      <c r="D122" s="1204"/>
      <c r="E122" s="1129"/>
      <c r="F122" s="1215"/>
      <c r="G122" s="765"/>
      <c r="H122" s="1160"/>
      <c r="J122" s="1270"/>
      <c r="K122" s="1196"/>
    </row>
    <row r="123" spans="1:11" ht="14.25" customHeight="1">
      <c r="A123" s="1130">
        <v>1</v>
      </c>
      <c r="B123" s="1177" t="s">
        <v>23</v>
      </c>
      <c r="C123" s="1157" t="s">
        <v>1453</v>
      </c>
      <c r="D123" s="1155"/>
      <c r="E123" s="1206">
        <v>2002</v>
      </c>
      <c r="F123" s="1215" t="s">
        <v>1712</v>
      </c>
      <c r="G123" s="766"/>
      <c r="H123" s="1160"/>
      <c r="I123" s="1138">
        <v>34.89</v>
      </c>
      <c r="J123" s="747" t="s">
        <v>29</v>
      </c>
      <c r="K123" s="1196"/>
    </row>
    <row r="124" spans="1:11" ht="14.25" customHeight="1">
      <c r="A124" s="1130">
        <v>2</v>
      </c>
      <c r="B124" s="1202" t="s">
        <v>25</v>
      </c>
      <c r="C124" s="1205" t="s">
        <v>1462</v>
      </c>
      <c r="D124" s="1155"/>
      <c r="E124" s="1206">
        <v>2001</v>
      </c>
      <c r="F124" s="766" t="s">
        <v>1711</v>
      </c>
      <c r="G124" s="766"/>
      <c r="H124" s="1160"/>
      <c r="I124" s="1138">
        <v>35.869999999999997</v>
      </c>
      <c r="J124" s="747" t="s">
        <v>29</v>
      </c>
      <c r="K124" s="1160"/>
    </row>
    <row r="125" spans="1:11" ht="14.25" customHeight="1">
      <c r="A125" s="1130">
        <v>3</v>
      </c>
      <c r="B125" s="1207" t="s">
        <v>25</v>
      </c>
      <c r="C125" s="1169" t="s">
        <v>619</v>
      </c>
      <c r="D125" s="1155"/>
      <c r="E125" s="1206">
        <v>1995</v>
      </c>
      <c r="F125" s="1215" t="s">
        <v>1695</v>
      </c>
      <c r="G125" s="1179"/>
      <c r="H125" s="1160"/>
      <c r="I125" s="1138">
        <v>36.57</v>
      </c>
      <c r="J125" s="747" t="s">
        <v>29</v>
      </c>
      <c r="K125" s="1160"/>
    </row>
    <row r="126" spans="1:11" ht="14.25" customHeight="1">
      <c r="A126" s="1130">
        <v>4</v>
      </c>
      <c r="B126" s="1202" t="s">
        <v>25</v>
      </c>
      <c r="C126" s="1204" t="s">
        <v>600</v>
      </c>
      <c r="D126" s="1155"/>
      <c r="E126" s="1206">
        <v>1997</v>
      </c>
      <c r="F126" s="27" t="s">
        <v>1708</v>
      </c>
      <c r="G126" s="1179"/>
      <c r="H126" s="1160"/>
      <c r="I126" s="1138">
        <v>36.67</v>
      </c>
      <c r="J126" s="747" t="s">
        <v>29</v>
      </c>
      <c r="K126" s="1196"/>
    </row>
    <row r="127" spans="1:11" ht="14.25" customHeight="1">
      <c r="A127" s="1130">
        <v>5</v>
      </c>
      <c r="B127" s="1201" t="s">
        <v>27</v>
      </c>
      <c r="C127" s="1173" t="s">
        <v>1459</v>
      </c>
      <c r="D127" s="1176"/>
      <c r="E127" s="1174">
        <v>2003</v>
      </c>
      <c r="F127" s="1157" t="s">
        <v>1707</v>
      </c>
      <c r="G127" s="766"/>
      <c r="H127" s="1176"/>
      <c r="I127" s="1138">
        <v>37.49</v>
      </c>
      <c r="J127" s="747" t="s">
        <v>29</v>
      </c>
      <c r="K127" s="1196"/>
    </row>
    <row r="128" spans="1:11" ht="14.25" customHeight="1">
      <c r="A128" s="1130">
        <v>6</v>
      </c>
      <c r="B128" s="1207" t="s">
        <v>29</v>
      </c>
      <c r="C128" s="1205" t="s">
        <v>1416</v>
      </c>
      <c r="D128" s="1204"/>
      <c r="E128" s="1206">
        <v>2003</v>
      </c>
      <c r="F128" s="1289" t="s">
        <v>1695</v>
      </c>
      <c r="G128" s="766"/>
      <c r="H128" s="1160"/>
      <c r="I128" s="1138">
        <v>38.700000000000003</v>
      </c>
      <c r="J128" s="747" t="str">
        <f t="shared" ref="J128:J140" si="1">IF(ISBLANK(I128)," ",IF(ISTEXT(I128)," ",IF(I128&lt;=36,"МСМК",IF(I128&lt;=37.8,"МС",IF(I128&lt;=39.4,"КМС",IF(I128&lt;=42.3,"I",IF(I128&lt;=45.9,"II",IF(I128&lt;=49.8,"III",IF(I128&lt;=54.6,"I юн",IF(I128&lt;=59.6,"II юн",IF(I128&lt;=104.6,"III юн","б/р")))))))))))</f>
        <v>КМС</v>
      </c>
      <c r="K128" s="1170"/>
    </row>
    <row r="129" spans="1:11" ht="14.25" customHeight="1">
      <c r="A129" s="1130">
        <v>7</v>
      </c>
      <c r="B129" s="1201" t="s">
        <v>27</v>
      </c>
      <c r="C129" s="1173" t="s">
        <v>1461</v>
      </c>
      <c r="D129" s="1176"/>
      <c r="E129" s="1174">
        <v>2003</v>
      </c>
      <c r="F129" s="1157" t="s">
        <v>1707</v>
      </c>
      <c r="G129" s="766"/>
      <c r="H129" s="1176"/>
      <c r="I129" s="1138">
        <v>38.82</v>
      </c>
      <c r="J129" s="747" t="str">
        <f t="shared" si="1"/>
        <v>КМС</v>
      </c>
      <c r="K129" s="1196"/>
    </row>
    <row r="130" spans="1:11" ht="14.25" customHeight="1">
      <c r="A130" s="1130">
        <v>8</v>
      </c>
      <c r="B130" s="1207" t="s">
        <v>29</v>
      </c>
      <c r="C130" s="1205" t="s">
        <v>1348</v>
      </c>
      <c r="D130" s="1204"/>
      <c r="E130" s="1206">
        <v>2003</v>
      </c>
      <c r="F130" s="1289" t="s">
        <v>1695</v>
      </c>
      <c r="G130" s="766"/>
      <c r="H130" s="1160"/>
      <c r="I130" s="1138">
        <v>39.119999999999997</v>
      </c>
      <c r="J130" s="747" t="str">
        <f t="shared" si="1"/>
        <v>КМС</v>
      </c>
      <c r="K130" s="1160"/>
    </row>
    <row r="131" spans="1:11" ht="14.25" customHeight="1">
      <c r="A131" s="1130">
        <v>9</v>
      </c>
      <c r="B131" s="1177" t="s">
        <v>15</v>
      </c>
      <c r="C131" s="1205" t="s">
        <v>1455</v>
      </c>
      <c r="D131" s="1204"/>
      <c r="E131" s="1206">
        <v>2002</v>
      </c>
      <c r="F131" s="1215" t="s">
        <v>1709</v>
      </c>
      <c r="G131" s="766"/>
      <c r="H131" s="1160"/>
      <c r="I131" s="1138">
        <v>39.950000000000003</v>
      </c>
      <c r="J131" s="747" t="str">
        <f t="shared" si="1"/>
        <v>I</v>
      </c>
      <c r="K131" s="1196"/>
    </row>
    <row r="132" spans="1:11" ht="14.25" customHeight="1">
      <c r="A132" s="1130">
        <v>10</v>
      </c>
      <c r="B132" s="1178" t="s">
        <v>1457</v>
      </c>
      <c r="C132" s="1173" t="s">
        <v>1458</v>
      </c>
      <c r="D132" s="1176"/>
      <c r="E132" s="1174">
        <v>2001</v>
      </c>
      <c r="F132" s="1157" t="s">
        <v>1707</v>
      </c>
      <c r="G132" s="766"/>
      <c r="H132" s="1176"/>
      <c r="I132" s="1138">
        <v>40.229999999999997</v>
      </c>
      <c r="J132" s="747" t="str">
        <f t="shared" si="1"/>
        <v>I</v>
      </c>
      <c r="K132" s="1166"/>
    </row>
    <row r="133" spans="1:11" ht="14.25" customHeight="1">
      <c r="A133" s="1130">
        <v>11</v>
      </c>
      <c r="B133" s="1178" t="s">
        <v>1457</v>
      </c>
      <c r="C133" s="1173" t="s">
        <v>1460</v>
      </c>
      <c r="D133" s="1176"/>
      <c r="E133" s="1174">
        <v>2003</v>
      </c>
      <c r="F133" s="1157" t="s">
        <v>1707</v>
      </c>
      <c r="G133" s="766"/>
      <c r="H133" s="1176"/>
      <c r="I133" s="1138">
        <v>40.590000000000003</v>
      </c>
      <c r="J133" s="747" t="str">
        <f t="shared" si="1"/>
        <v>I</v>
      </c>
      <c r="K133" s="1160"/>
    </row>
    <row r="134" spans="1:11" ht="14.25" customHeight="1">
      <c r="A134" s="1130">
        <v>12</v>
      </c>
      <c r="B134" s="1207" t="s">
        <v>27</v>
      </c>
      <c r="C134" s="1205" t="s">
        <v>1388</v>
      </c>
      <c r="D134" s="1204"/>
      <c r="E134" s="1206">
        <v>2002</v>
      </c>
      <c r="F134" s="1289" t="s">
        <v>1695</v>
      </c>
      <c r="G134" s="766"/>
      <c r="H134" s="1160"/>
      <c r="I134" s="1138">
        <v>41.32</v>
      </c>
      <c r="J134" s="747" t="str">
        <f t="shared" si="1"/>
        <v>I</v>
      </c>
      <c r="K134" s="1160"/>
    </row>
    <row r="135" spans="1:11" ht="14.25" customHeight="1">
      <c r="A135" s="1130">
        <v>13</v>
      </c>
      <c r="B135" s="1207" t="s">
        <v>29</v>
      </c>
      <c r="C135" s="1205" t="s">
        <v>1389</v>
      </c>
      <c r="D135" s="1204"/>
      <c r="E135" s="1207">
        <v>2001</v>
      </c>
      <c r="F135" s="1289" t="s">
        <v>1695</v>
      </c>
      <c r="G135" s="766"/>
      <c r="H135" s="1160"/>
      <c r="I135" s="1138">
        <v>41.88</v>
      </c>
      <c r="J135" s="747" t="str">
        <f t="shared" si="1"/>
        <v>I</v>
      </c>
      <c r="K135" s="1160"/>
    </row>
    <row r="136" spans="1:11" ht="14.25" customHeight="1">
      <c r="A136" s="1130">
        <v>14</v>
      </c>
      <c r="B136" s="1207" t="s">
        <v>1</v>
      </c>
      <c r="C136" s="1205" t="s">
        <v>1375</v>
      </c>
      <c r="D136" s="1205"/>
      <c r="E136" s="1206">
        <v>2002</v>
      </c>
      <c r="F136" s="1215" t="s">
        <v>1710</v>
      </c>
      <c r="G136" s="766"/>
      <c r="H136" s="1160"/>
      <c r="I136" s="1138">
        <v>44.23</v>
      </c>
      <c r="J136" s="747" t="str">
        <f t="shared" si="1"/>
        <v>II</v>
      </c>
      <c r="K136" s="1160"/>
    </row>
    <row r="137" spans="1:11" ht="14.25" customHeight="1">
      <c r="A137" s="1130">
        <v>15</v>
      </c>
      <c r="B137" s="1207" t="s">
        <v>29</v>
      </c>
      <c r="C137" s="1205" t="s">
        <v>1390</v>
      </c>
      <c r="D137" s="1205"/>
      <c r="E137" s="1206">
        <v>2003</v>
      </c>
      <c r="F137" s="1289" t="s">
        <v>1710</v>
      </c>
      <c r="G137" s="766"/>
      <c r="H137" s="1163"/>
      <c r="I137" s="1138">
        <v>44.8</v>
      </c>
      <c r="J137" s="747" t="str">
        <f t="shared" si="1"/>
        <v>II</v>
      </c>
      <c r="K137" s="1134"/>
    </row>
    <row r="138" spans="1:11" ht="14.25" customHeight="1">
      <c r="A138" s="1130">
        <v>16</v>
      </c>
      <c r="B138" s="1177" t="s">
        <v>15</v>
      </c>
      <c r="C138" s="1205" t="s">
        <v>1456</v>
      </c>
      <c r="D138" s="1204"/>
      <c r="E138" s="1206">
        <v>2002</v>
      </c>
      <c r="F138" s="1289" t="s">
        <v>1709</v>
      </c>
      <c r="G138" s="766"/>
      <c r="H138" s="1160"/>
      <c r="I138" s="1138">
        <v>45.28</v>
      </c>
      <c r="J138" s="747" t="str">
        <f t="shared" si="1"/>
        <v>II</v>
      </c>
      <c r="K138" s="1196"/>
    </row>
    <row r="139" spans="1:11" ht="14.25" customHeight="1">
      <c r="A139" s="1130">
        <v>17</v>
      </c>
      <c r="B139" s="1202" t="s">
        <v>27</v>
      </c>
      <c r="C139" s="1205" t="s">
        <v>1466</v>
      </c>
      <c r="D139" s="1205"/>
      <c r="E139" s="1206">
        <v>2001</v>
      </c>
      <c r="F139" s="1289" t="s">
        <v>1695</v>
      </c>
      <c r="G139" s="1179"/>
      <c r="H139" s="1160"/>
      <c r="I139" s="1138">
        <v>46.39</v>
      </c>
      <c r="J139" s="747" t="str">
        <f t="shared" si="1"/>
        <v>III</v>
      </c>
      <c r="K139" s="1160"/>
    </row>
    <row r="140" spans="1:11" ht="14.25" customHeight="1">
      <c r="A140" s="1130">
        <v>18</v>
      </c>
      <c r="B140" s="1178" t="s">
        <v>13</v>
      </c>
      <c r="C140" s="1173" t="s">
        <v>1533</v>
      </c>
      <c r="D140" s="1173"/>
      <c r="E140" s="1174">
        <v>2001</v>
      </c>
      <c r="F140" s="1157" t="s">
        <v>1707</v>
      </c>
      <c r="G140" s="766"/>
      <c r="H140" s="1176"/>
      <c r="I140" s="1138">
        <v>47.39</v>
      </c>
      <c r="J140" s="747" t="str">
        <f t="shared" si="1"/>
        <v>III</v>
      </c>
      <c r="K140" s="1160"/>
    </row>
    <row r="141" spans="1:11" ht="14.25" customHeight="1">
      <c r="A141" s="1130"/>
      <c r="B141" s="535"/>
      <c r="C141" s="100"/>
      <c r="D141" s="1185"/>
      <c r="E141" s="534"/>
      <c r="F141" s="15"/>
      <c r="G141" s="536"/>
      <c r="H141" s="1164"/>
      <c r="I141" s="1138"/>
      <c r="J141" s="1270"/>
      <c r="K141" s="1170"/>
    </row>
    <row r="142" spans="1:11" ht="14.25" customHeight="1">
      <c r="A142" s="1130"/>
      <c r="B142" s="535"/>
      <c r="C142" s="100"/>
      <c r="D142" s="1185"/>
      <c r="E142" s="534"/>
      <c r="F142" s="15"/>
      <c r="G142" s="536"/>
      <c r="H142" s="1164"/>
      <c r="I142" s="1138"/>
      <c r="J142" s="1270"/>
      <c r="K142" s="1170"/>
    </row>
    <row r="143" spans="1:11" ht="14.25" customHeight="1">
      <c r="A143" s="57"/>
      <c r="B143" s="535"/>
      <c r="C143" s="1143" t="s">
        <v>1685</v>
      </c>
      <c r="D143" s="134"/>
      <c r="E143" s="134"/>
      <c r="F143" s="134"/>
      <c r="G143" s="542"/>
      <c r="H143" s="1164"/>
      <c r="I143" s="1138"/>
      <c r="J143" s="1270"/>
      <c r="K143" s="1196"/>
    </row>
    <row r="144" spans="1:11" ht="14.25" customHeight="1">
      <c r="A144" s="1130"/>
      <c r="B144" s="1207"/>
      <c r="C144" s="1157"/>
      <c r="D144" s="1210"/>
      <c r="E144" s="1129"/>
      <c r="F144" s="1215"/>
      <c r="G144" s="1210"/>
      <c r="H144" s="1137"/>
      <c r="I144" s="1138"/>
      <c r="J144" s="1270"/>
      <c r="K144" s="1170"/>
    </row>
    <row r="145" spans="1:11" ht="14.25" customHeight="1">
      <c r="A145" s="1130">
        <v>1</v>
      </c>
      <c r="B145" s="1207" t="s">
        <v>25</v>
      </c>
      <c r="C145" s="1205" t="s">
        <v>654</v>
      </c>
      <c r="D145" s="1204"/>
      <c r="E145" s="1206">
        <v>1999</v>
      </c>
      <c r="F145" s="1215" t="s">
        <v>1690</v>
      </c>
      <c r="G145" s="766"/>
      <c r="H145" s="1160"/>
      <c r="I145" s="1138">
        <v>49.39</v>
      </c>
      <c r="J145" s="747" t="s">
        <v>29</v>
      </c>
      <c r="K145" s="1196"/>
    </row>
    <row r="146" spans="1:11" ht="14.25" customHeight="1">
      <c r="A146" s="1130">
        <v>2</v>
      </c>
      <c r="B146" s="1207" t="s">
        <v>27</v>
      </c>
      <c r="C146" s="1205" t="s">
        <v>1347</v>
      </c>
      <c r="D146" s="1204"/>
      <c r="E146" s="1206">
        <v>2003</v>
      </c>
      <c r="F146" s="1215" t="s">
        <v>1718</v>
      </c>
      <c r="G146" s="766"/>
      <c r="H146" s="1160"/>
      <c r="I146" s="1138">
        <v>49.97</v>
      </c>
      <c r="J146" s="747" t="s">
        <v>29</v>
      </c>
      <c r="K146" s="1196"/>
    </row>
    <row r="147" spans="1:11" ht="14.25" customHeight="1">
      <c r="A147" s="1130">
        <v>3</v>
      </c>
      <c r="B147" s="1207" t="s">
        <v>27</v>
      </c>
      <c r="C147" s="1205" t="s">
        <v>1359</v>
      </c>
      <c r="D147" s="1204"/>
      <c r="E147" s="1206">
        <v>2003</v>
      </c>
      <c r="F147" s="1215" t="s">
        <v>1690</v>
      </c>
      <c r="G147" s="766"/>
      <c r="H147" s="1160"/>
      <c r="I147" s="1138">
        <v>50.97</v>
      </c>
      <c r="J147" s="747" t="s">
        <v>29</v>
      </c>
      <c r="K147" s="1196"/>
    </row>
    <row r="148" spans="1:11" ht="14.25" customHeight="1">
      <c r="A148" s="1130">
        <v>4</v>
      </c>
      <c r="B148" s="1178" t="s">
        <v>27</v>
      </c>
      <c r="C148" s="1173" t="s">
        <v>1481</v>
      </c>
      <c r="D148" s="1174"/>
      <c r="E148" s="1174">
        <v>2003</v>
      </c>
      <c r="F148" s="1175" t="s">
        <v>1707</v>
      </c>
      <c r="G148" s="766"/>
      <c r="H148" s="1176"/>
      <c r="I148" s="1138">
        <v>51.51</v>
      </c>
      <c r="J148" s="747" t="str">
        <f t="shared" ref="J148:J163" si="2">IF(ISBLANK(I148)," ",IF(ISTEXT(I148)," ",IF(I148&lt;=48.1,"МСМК",IF(I148&lt;=51,"МС",IF(I148&lt;=53.3,"КМС",IF(I148&lt;=57.3,"I",IF(I148&lt;=101.9,"II",IF(I148&lt;=107.8,"III",IF(I148&lt;=113.5,"I юн",IF(I148&lt;=119.6,"II юн",IF(I148&lt;=126,"III юн","б/р")))))))))))</f>
        <v>КМС</v>
      </c>
      <c r="K148" s="1164"/>
    </row>
    <row r="149" spans="1:11" ht="14.25" customHeight="1">
      <c r="A149" s="1130">
        <v>5</v>
      </c>
      <c r="B149" s="1184" t="s">
        <v>27</v>
      </c>
      <c r="C149" s="1181" t="s">
        <v>1479</v>
      </c>
      <c r="D149" s="1181"/>
      <c r="E149" s="1182">
        <v>2000</v>
      </c>
      <c r="F149" s="1183" t="s">
        <v>1713</v>
      </c>
      <c r="G149" s="766"/>
      <c r="H149" s="1186"/>
      <c r="I149" s="1138">
        <v>51.51</v>
      </c>
      <c r="J149" s="747" t="str">
        <f t="shared" si="2"/>
        <v>КМС</v>
      </c>
      <c r="K149" s="1137"/>
    </row>
    <row r="150" spans="1:11" ht="14.25" customHeight="1">
      <c r="A150" s="1130">
        <v>6</v>
      </c>
      <c r="B150" s="1207" t="s">
        <v>27</v>
      </c>
      <c r="C150" s="1205" t="s">
        <v>1484</v>
      </c>
      <c r="D150" s="1204"/>
      <c r="E150" s="1206">
        <v>2001</v>
      </c>
      <c r="F150" s="1215" t="s">
        <v>1716</v>
      </c>
      <c r="G150" s="766"/>
      <c r="H150" s="1160"/>
      <c r="I150" s="1138">
        <v>51.9</v>
      </c>
      <c r="J150" s="747" t="str">
        <f t="shared" si="2"/>
        <v>КМС</v>
      </c>
      <c r="K150" s="1196"/>
    </row>
    <row r="151" spans="1:11" ht="14.25" customHeight="1">
      <c r="A151" s="1130">
        <v>7</v>
      </c>
      <c r="B151" s="1207" t="s">
        <v>27</v>
      </c>
      <c r="C151" s="1205" t="s">
        <v>1487</v>
      </c>
      <c r="D151" s="1204"/>
      <c r="E151" s="1206">
        <v>2003</v>
      </c>
      <c r="F151" s="1215" t="s">
        <v>1706</v>
      </c>
      <c r="G151" s="766"/>
      <c r="H151" s="1160"/>
      <c r="I151" s="1138">
        <v>51.93</v>
      </c>
      <c r="J151" s="747" t="str">
        <f t="shared" si="2"/>
        <v>КМС</v>
      </c>
      <c r="K151" s="1170"/>
    </row>
    <row r="152" spans="1:11" ht="14.25" customHeight="1">
      <c r="A152" s="1130">
        <v>8</v>
      </c>
      <c r="B152" s="1184" t="s">
        <v>27</v>
      </c>
      <c r="C152" s="1181" t="s">
        <v>1478</v>
      </c>
      <c r="D152" s="1181"/>
      <c r="E152" s="1182">
        <v>2001</v>
      </c>
      <c r="F152" s="1183" t="s">
        <v>1713</v>
      </c>
      <c r="G152" s="766"/>
      <c r="H152" s="1186"/>
      <c r="I152" s="1138">
        <v>52.02</v>
      </c>
      <c r="J152" s="747" t="str">
        <f t="shared" si="2"/>
        <v>КМС</v>
      </c>
      <c r="K152" s="1165"/>
    </row>
    <row r="153" spans="1:11" ht="14.25" customHeight="1">
      <c r="A153" s="1130">
        <v>9</v>
      </c>
      <c r="B153" s="1207" t="s">
        <v>25</v>
      </c>
      <c r="C153" s="1205" t="s">
        <v>580</v>
      </c>
      <c r="D153" s="1204"/>
      <c r="E153" s="1206">
        <v>1998</v>
      </c>
      <c r="F153" s="1289" t="s">
        <v>1690</v>
      </c>
      <c r="G153" s="766"/>
      <c r="H153" s="1160"/>
      <c r="I153" s="1138">
        <v>52.46</v>
      </c>
      <c r="J153" s="747" t="str">
        <f t="shared" si="2"/>
        <v>КМС</v>
      </c>
      <c r="K153" s="1137"/>
    </row>
    <row r="154" spans="1:11" ht="14.25" customHeight="1">
      <c r="A154" s="1130">
        <v>10</v>
      </c>
      <c r="B154" s="1207" t="s">
        <v>27</v>
      </c>
      <c r="C154" s="1205" t="s">
        <v>1423</v>
      </c>
      <c r="D154" s="1204"/>
      <c r="E154" s="1206">
        <v>2002</v>
      </c>
      <c r="F154" s="1289" t="s">
        <v>1690</v>
      </c>
      <c r="G154" s="766"/>
      <c r="H154" s="1160"/>
      <c r="I154" s="1138">
        <v>52.55</v>
      </c>
      <c r="J154" s="747" t="str">
        <f t="shared" si="2"/>
        <v>КМС</v>
      </c>
      <c r="K154" s="1160"/>
    </row>
    <row r="155" spans="1:11" ht="14.25" customHeight="1">
      <c r="A155" s="1130">
        <v>11</v>
      </c>
      <c r="B155" s="1207" t="s">
        <v>27</v>
      </c>
      <c r="C155" s="1205" t="s">
        <v>1426</v>
      </c>
      <c r="D155" s="1204"/>
      <c r="E155" s="1206">
        <v>2000</v>
      </c>
      <c r="F155" s="1289" t="s">
        <v>1690</v>
      </c>
      <c r="G155" s="766"/>
      <c r="H155" s="1160"/>
      <c r="I155" s="1138">
        <v>52.79</v>
      </c>
      <c r="J155" s="747" t="str">
        <f t="shared" si="2"/>
        <v>КМС</v>
      </c>
      <c r="K155" s="1196"/>
    </row>
    <row r="156" spans="1:11" ht="14.25" customHeight="1">
      <c r="A156" s="1130">
        <v>12</v>
      </c>
      <c r="B156" s="1207" t="s">
        <v>15</v>
      </c>
      <c r="C156" s="1205" t="s">
        <v>1476</v>
      </c>
      <c r="D156" s="1204"/>
      <c r="E156" s="1206">
        <v>2001</v>
      </c>
      <c r="F156" s="1215" t="s">
        <v>1715</v>
      </c>
      <c r="G156" s="766"/>
      <c r="H156" s="1160"/>
      <c r="I156" s="1138">
        <v>53.56</v>
      </c>
      <c r="J156" s="747" t="str">
        <f t="shared" si="2"/>
        <v>I</v>
      </c>
      <c r="K156" s="1170"/>
    </row>
    <row r="157" spans="1:11" ht="14.25" customHeight="1">
      <c r="A157" s="1130">
        <v>13</v>
      </c>
      <c r="B157" s="1178" t="s">
        <v>29</v>
      </c>
      <c r="C157" s="1173" t="s">
        <v>1483</v>
      </c>
      <c r="D157" s="1174"/>
      <c r="E157" s="1174">
        <v>2003</v>
      </c>
      <c r="F157" s="1175" t="s">
        <v>1707</v>
      </c>
      <c r="G157" s="766"/>
      <c r="H157" s="1176"/>
      <c r="I157" s="1138">
        <v>53.56</v>
      </c>
      <c r="J157" s="747" t="str">
        <f t="shared" si="2"/>
        <v>I</v>
      </c>
      <c r="K157" s="1160"/>
    </row>
    <row r="158" spans="1:11" ht="14.25" customHeight="1">
      <c r="A158" s="1130">
        <v>14</v>
      </c>
      <c r="B158" s="1207" t="s">
        <v>29</v>
      </c>
      <c r="C158" s="1205" t="s">
        <v>1414</v>
      </c>
      <c r="D158" s="1204"/>
      <c r="E158" s="1206">
        <v>2001</v>
      </c>
      <c r="F158" s="1215" t="s">
        <v>1693</v>
      </c>
      <c r="G158" s="766"/>
      <c r="H158" s="1160"/>
      <c r="I158" s="1138">
        <v>55.14</v>
      </c>
      <c r="J158" s="747" t="str">
        <f t="shared" si="2"/>
        <v>I</v>
      </c>
      <c r="K158" s="1170"/>
    </row>
    <row r="159" spans="1:11" ht="14.25" customHeight="1">
      <c r="A159" s="1130">
        <v>15</v>
      </c>
      <c r="B159" s="1207" t="s">
        <v>1</v>
      </c>
      <c r="C159" s="1173" t="s">
        <v>1480</v>
      </c>
      <c r="D159" s="1174"/>
      <c r="E159" s="1174">
        <v>2002</v>
      </c>
      <c r="F159" s="1175" t="s">
        <v>1707</v>
      </c>
      <c r="G159" s="766"/>
      <c r="H159" s="1176"/>
      <c r="I159" s="1138">
        <v>56.25</v>
      </c>
      <c r="J159" s="747" t="str">
        <f t="shared" si="2"/>
        <v>I</v>
      </c>
      <c r="K159" s="1170"/>
    </row>
    <row r="160" spans="1:11" ht="14.25" customHeight="1">
      <c r="A160" s="1130">
        <v>16</v>
      </c>
      <c r="B160" s="1207" t="s">
        <v>25</v>
      </c>
      <c r="C160" s="1205" t="s">
        <v>1486</v>
      </c>
      <c r="D160" s="1204"/>
      <c r="E160" s="1206">
        <v>1997</v>
      </c>
      <c r="F160" s="1215" t="s">
        <v>1717</v>
      </c>
      <c r="G160" s="766"/>
      <c r="H160" s="1160"/>
      <c r="I160" s="1138">
        <v>57.27</v>
      </c>
      <c r="J160" s="747" t="str">
        <f t="shared" si="2"/>
        <v>I</v>
      </c>
      <c r="K160" s="1196"/>
    </row>
    <row r="161" spans="1:11" ht="14.25" customHeight="1">
      <c r="A161" s="1130">
        <v>17</v>
      </c>
      <c r="B161" s="1207" t="s">
        <v>29</v>
      </c>
      <c r="C161" s="1205" t="s">
        <v>1539</v>
      </c>
      <c r="D161" s="1204"/>
      <c r="E161" s="1206">
        <v>2003</v>
      </c>
      <c r="F161" s="1289" t="s">
        <v>1693</v>
      </c>
      <c r="G161" s="766"/>
      <c r="H161" s="1160"/>
      <c r="I161" s="1138">
        <v>57.31</v>
      </c>
      <c r="J161" s="747" t="str">
        <f t="shared" si="2"/>
        <v>II</v>
      </c>
      <c r="K161" s="1196"/>
    </row>
    <row r="162" spans="1:11" ht="14.25" customHeight="1">
      <c r="A162" s="1130">
        <v>18</v>
      </c>
      <c r="B162" s="1207" t="s">
        <v>1</v>
      </c>
      <c r="C162" s="1173" t="s">
        <v>1482</v>
      </c>
      <c r="D162" s="1174"/>
      <c r="E162" s="1174">
        <v>2003</v>
      </c>
      <c r="F162" s="1175" t="s">
        <v>1707</v>
      </c>
      <c r="G162" s="766"/>
      <c r="H162" s="1176"/>
      <c r="I162" s="1138">
        <v>57.31</v>
      </c>
      <c r="J162" s="747" t="str">
        <f t="shared" si="2"/>
        <v>II</v>
      </c>
      <c r="K162" s="1170"/>
    </row>
    <row r="163" spans="1:11" ht="14.25" customHeight="1">
      <c r="A163" s="1130">
        <v>19</v>
      </c>
      <c r="B163" s="1207" t="s">
        <v>1</v>
      </c>
      <c r="C163" s="1205" t="s">
        <v>1540</v>
      </c>
      <c r="D163" s="1204"/>
      <c r="E163" s="1206">
        <v>2002</v>
      </c>
      <c r="F163" s="1289" t="s">
        <v>1693</v>
      </c>
      <c r="G163" s="766"/>
      <c r="H163" s="1160"/>
      <c r="I163" s="1138">
        <v>59.44</v>
      </c>
      <c r="J163" s="747" t="str">
        <f t="shared" si="2"/>
        <v>II</v>
      </c>
      <c r="K163" s="1196"/>
    </row>
    <row r="164" spans="1:11" ht="14.25" customHeight="1">
      <c r="A164" s="1130">
        <v>20</v>
      </c>
      <c r="B164" s="1207" t="s">
        <v>15</v>
      </c>
      <c r="C164" s="1205" t="s">
        <v>1546</v>
      </c>
      <c r="D164" s="1204"/>
      <c r="E164" s="1206">
        <v>2001</v>
      </c>
      <c r="F164" s="1215" t="s">
        <v>1714</v>
      </c>
      <c r="G164" s="766"/>
      <c r="H164" s="1160"/>
      <c r="I164" s="1138" t="s">
        <v>1626</v>
      </c>
      <c r="J164" s="747" t="s">
        <v>1620</v>
      </c>
      <c r="K164" s="1170"/>
    </row>
    <row r="165" spans="1:11" ht="14.25" customHeight="1">
      <c r="A165" s="1130">
        <v>21</v>
      </c>
      <c r="B165" s="1207" t="s">
        <v>15</v>
      </c>
      <c r="C165" s="1205" t="s">
        <v>1545</v>
      </c>
      <c r="D165" s="1204"/>
      <c r="E165" s="1206">
        <v>2001</v>
      </c>
      <c r="F165" s="1289" t="s">
        <v>1714</v>
      </c>
      <c r="G165" s="766"/>
      <c r="H165" s="1160"/>
      <c r="I165" s="1138" t="s">
        <v>1624</v>
      </c>
      <c r="J165" s="747" t="s">
        <v>1637</v>
      </c>
      <c r="K165" s="1170"/>
    </row>
    <row r="166" spans="1:11" ht="14.25" customHeight="1">
      <c r="A166" s="1130"/>
      <c r="B166" s="1207" t="s">
        <v>1</v>
      </c>
      <c r="C166" s="1205" t="s">
        <v>1364</v>
      </c>
      <c r="D166" s="1204"/>
      <c r="E166" s="1206">
        <v>2000</v>
      </c>
      <c r="F166" s="1289" t="s">
        <v>1693</v>
      </c>
      <c r="G166" s="766"/>
      <c r="H166" s="1160"/>
      <c r="I166" s="1138" t="s">
        <v>1621</v>
      </c>
      <c r="J166" s="1270"/>
      <c r="K166" s="1170"/>
    </row>
    <row r="167" spans="1:11">
      <c r="A167" s="57"/>
      <c r="B167" s="49"/>
      <c r="C167" s="1131"/>
      <c r="D167" s="1131"/>
      <c r="E167" s="1136"/>
      <c r="F167" s="1131"/>
      <c r="G167" s="1131"/>
      <c r="H167" s="1133"/>
      <c r="I167" s="1138"/>
      <c r="J167" s="1196"/>
      <c r="K167" s="405"/>
    </row>
    <row r="168" spans="1:11">
      <c r="A168" s="1130"/>
      <c r="B168" s="535"/>
      <c r="C168" s="1143" t="s">
        <v>1421</v>
      </c>
      <c r="D168" s="134"/>
      <c r="E168" s="134"/>
      <c r="F168" s="134"/>
      <c r="G168" s="542"/>
      <c r="H168" s="1164"/>
      <c r="I168" s="1138"/>
      <c r="J168" s="1196"/>
      <c r="K168" s="1164"/>
    </row>
    <row r="169" spans="1:11">
      <c r="A169" s="1130"/>
      <c r="B169" s="535"/>
      <c r="C169" s="524"/>
      <c r="D169" s="542"/>
      <c r="E169" s="542"/>
      <c r="F169" s="542"/>
      <c r="G169" s="542"/>
      <c r="H169" s="1164"/>
      <c r="I169" s="1138"/>
      <c r="J169" s="1196"/>
      <c r="K169" s="1164"/>
    </row>
    <row r="170" spans="1:11">
      <c r="A170" s="1130">
        <v>1</v>
      </c>
      <c r="B170" s="1202" t="s">
        <v>27</v>
      </c>
      <c r="C170" s="1205" t="s">
        <v>1349</v>
      </c>
      <c r="D170" s="1204"/>
      <c r="E170" s="1206">
        <v>2003</v>
      </c>
      <c r="F170" s="1215" t="s">
        <v>1690</v>
      </c>
      <c r="G170" s="1192"/>
      <c r="H170" s="1160"/>
      <c r="I170" s="1138">
        <v>44.49</v>
      </c>
      <c r="J170" s="747" t="s">
        <v>29</v>
      </c>
      <c r="K170" s="1196"/>
    </row>
    <row r="171" spans="1:11">
      <c r="A171" s="1130">
        <v>2</v>
      </c>
      <c r="B171" s="1207" t="s">
        <v>27</v>
      </c>
      <c r="C171" s="1205" t="s">
        <v>1408</v>
      </c>
      <c r="D171" s="1204"/>
      <c r="E171" s="1206">
        <v>2001</v>
      </c>
      <c r="F171" s="1215" t="s">
        <v>1690</v>
      </c>
      <c r="G171" s="1192"/>
      <c r="H171" s="1160"/>
      <c r="I171" s="1138">
        <v>45.17</v>
      </c>
      <c r="J171" s="747" t="str">
        <f t="shared" ref="J171:J192" si="3">IF(ISBLANK(I171)," ",IF(ISTEXT(I171)," ",IF(I171&lt;=43.3,"МСМК",IF(I171&lt;=45.1,"МС",IF(I171&lt;=47.3,"КМС",IF(I171&lt;=50.8,"I",IF(I171&lt;=55.9,"II",IF(I171&lt;=100.4,"III",IF(I171&lt;=106,"I юн",IF(I171&lt;=112,"II юн",IF(I171&lt;=118.5,"III юн","б/р")))))))))))</f>
        <v>КМС</v>
      </c>
      <c r="K171" s="1196"/>
    </row>
    <row r="172" spans="1:11">
      <c r="A172" s="1130">
        <v>3</v>
      </c>
      <c r="B172" s="1207" t="s">
        <v>23</v>
      </c>
      <c r="C172" s="1169" t="s">
        <v>1380</v>
      </c>
      <c r="D172" s="1189"/>
      <c r="E172" s="1206">
        <v>1995</v>
      </c>
      <c r="F172" s="1289" t="s">
        <v>1690</v>
      </c>
      <c r="G172" s="766"/>
      <c r="H172" s="1160"/>
      <c r="I172" s="1138">
        <v>45.28</v>
      </c>
      <c r="J172" s="747" t="str">
        <f t="shared" si="3"/>
        <v>КМС</v>
      </c>
      <c r="K172" s="1211"/>
    </row>
    <row r="173" spans="1:11">
      <c r="A173" s="1130">
        <v>4</v>
      </c>
      <c r="B173" s="1207" t="s">
        <v>27</v>
      </c>
      <c r="C173" s="1167" t="s">
        <v>1508</v>
      </c>
      <c r="D173" s="1194"/>
      <c r="E173" s="1194">
        <v>2003</v>
      </c>
      <c r="F173" s="1190" t="s">
        <v>1707</v>
      </c>
      <c r="G173" s="1192"/>
      <c r="H173" s="1163"/>
      <c r="I173" s="1138">
        <v>45.6</v>
      </c>
      <c r="J173" s="747" t="str">
        <f t="shared" si="3"/>
        <v>КМС</v>
      </c>
      <c r="K173" s="1160"/>
    </row>
    <row r="174" spans="1:11">
      <c r="A174" s="1130">
        <v>5</v>
      </c>
      <c r="B174" s="1207" t="s">
        <v>29</v>
      </c>
      <c r="C174" s="1205" t="s">
        <v>1496</v>
      </c>
      <c r="D174" s="1204"/>
      <c r="E174" s="1206">
        <v>2001</v>
      </c>
      <c r="F174" s="1289" t="s">
        <v>1690</v>
      </c>
      <c r="G174" s="1192"/>
      <c r="H174" s="1160"/>
      <c r="I174" s="1138">
        <v>46.11</v>
      </c>
      <c r="J174" s="747" t="str">
        <f t="shared" si="3"/>
        <v>КМС</v>
      </c>
      <c r="K174" s="1160"/>
    </row>
    <row r="175" spans="1:11">
      <c r="A175" s="1130">
        <v>6</v>
      </c>
      <c r="B175" s="1207" t="s">
        <v>27</v>
      </c>
      <c r="C175" s="1205" t="s">
        <v>1374</v>
      </c>
      <c r="D175" s="1204"/>
      <c r="E175" s="1206">
        <v>2003</v>
      </c>
      <c r="F175" s="1289" t="s">
        <v>1690</v>
      </c>
      <c r="G175" s="1192"/>
      <c r="H175" s="1160"/>
      <c r="I175" s="1138">
        <v>46.86</v>
      </c>
      <c r="J175" s="747" t="str">
        <f t="shared" si="3"/>
        <v>КМС</v>
      </c>
      <c r="K175" s="1160"/>
    </row>
    <row r="176" spans="1:11">
      <c r="A176" s="1130">
        <v>7</v>
      </c>
      <c r="B176" s="1207" t="s">
        <v>1</v>
      </c>
      <c r="C176" s="1167" t="s">
        <v>1509</v>
      </c>
      <c r="D176" s="1194"/>
      <c r="E176" s="1194">
        <v>2000</v>
      </c>
      <c r="F176" s="1190" t="s">
        <v>1707</v>
      </c>
      <c r="G176" s="1192"/>
      <c r="H176" s="1163"/>
      <c r="I176" s="1138">
        <v>46.92</v>
      </c>
      <c r="J176" s="747" t="str">
        <f t="shared" si="3"/>
        <v>КМС</v>
      </c>
      <c r="K176" s="1203"/>
    </row>
    <row r="177" spans="1:11">
      <c r="A177" s="1130">
        <v>8</v>
      </c>
      <c r="B177" s="1207" t="s">
        <v>29</v>
      </c>
      <c r="C177" s="1205" t="s">
        <v>1385</v>
      </c>
      <c r="D177" s="1204"/>
      <c r="E177" s="1206">
        <v>2003</v>
      </c>
      <c r="F177" s="1215" t="s">
        <v>1721</v>
      </c>
      <c r="G177" s="766"/>
      <c r="H177" s="1160"/>
      <c r="I177" s="1138">
        <v>47.19</v>
      </c>
      <c r="J177" s="747" t="str">
        <f t="shared" si="3"/>
        <v>КМС</v>
      </c>
      <c r="K177" s="1203"/>
    </row>
    <row r="178" spans="1:11">
      <c r="A178" s="1130">
        <v>9</v>
      </c>
      <c r="B178" s="1207" t="s">
        <v>1</v>
      </c>
      <c r="C178" s="1205" t="s">
        <v>1383</v>
      </c>
      <c r="D178" s="1204"/>
      <c r="E178" s="1206">
        <v>2003</v>
      </c>
      <c r="F178" s="27" t="s">
        <v>1720</v>
      </c>
      <c r="G178" s="766"/>
      <c r="H178" s="1160"/>
      <c r="I178" s="1138">
        <v>47.33</v>
      </c>
      <c r="J178" s="747" t="str">
        <f t="shared" si="3"/>
        <v>I</v>
      </c>
      <c r="K178" s="1196"/>
    </row>
    <row r="179" spans="1:11">
      <c r="A179" s="1130">
        <v>10</v>
      </c>
      <c r="B179" s="1158" t="s">
        <v>29</v>
      </c>
      <c r="C179" s="1154" t="s">
        <v>1510</v>
      </c>
      <c r="D179" s="1204"/>
      <c r="E179" s="1188">
        <v>2003</v>
      </c>
      <c r="F179" s="1205" t="s">
        <v>1719</v>
      </c>
      <c r="G179" s="766"/>
      <c r="H179" s="1162"/>
      <c r="I179" s="1138">
        <v>47.38</v>
      </c>
      <c r="J179" s="747" t="str">
        <f t="shared" si="3"/>
        <v>I</v>
      </c>
      <c r="K179" s="1160"/>
    </row>
    <row r="180" spans="1:11">
      <c r="A180" s="1130">
        <v>11</v>
      </c>
      <c r="B180" s="1207" t="s">
        <v>27</v>
      </c>
      <c r="C180" s="1205" t="s">
        <v>1501</v>
      </c>
      <c r="D180" s="1204"/>
      <c r="E180" s="1206">
        <v>1998</v>
      </c>
      <c r="F180" s="1289" t="s">
        <v>1690</v>
      </c>
      <c r="G180" s="1192"/>
      <c r="H180" s="1160"/>
      <c r="I180" s="1138">
        <v>48.11</v>
      </c>
      <c r="J180" s="747" t="str">
        <f t="shared" si="3"/>
        <v>I</v>
      </c>
      <c r="K180" s="1203"/>
    </row>
    <row r="181" spans="1:11">
      <c r="A181" s="1130">
        <v>12</v>
      </c>
      <c r="B181" s="1202" t="s">
        <v>29</v>
      </c>
      <c r="C181" s="1205" t="s">
        <v>1503</v>
      </c>
      <c r="D181" s="1204"/>
      <c r="E181" s="1206">
        <v>2002</v>
      </c>
      <c r="F181" s="23" t="s">
        <v>1723</v>
      </c>
      <c r="G181" s="1192"/>
      <c r="H181" s="1160"/>
      <c r="I181" s="1138">
        <v>48.65</v>
      </c>
      <c r="J181" s="747" t="str">
        <f t="shared" si="3"/>
        <v>I</v>
      </c>
      <c r="K181" s="1203"/>
    </row>
    <row r="182" spans="1:11">
      <c r="A182" s="1130">
        <v>13</v>
      </c>
      <c r="B182" s="1207" t="s">
        <v>13</v>
      </c>
      <c r="C182" s="1205" t="s">
        <v>1420</v>
      </c>
      <c r="D182" s="1204"/>
      <c r="E182" s="1206">
        <v>2002</v>
      </c>
      <c r="F182" s="1215" t="s">
        <v>1699</v>
      </c>
      <c r="G182" s="1192"/>
      <c r="H182" s="1160"/>
      <c r="I182" s="1138">
        <v>48.71</v>
      </c>
      <c r="J182" s="747" t="str">
        <f t="shared" si="3"/>
        <v>I</v>
      </c>
      <c r="K182" s="1203"/>
    </row>
    <row r="183" spans="1:11">
      <c r="A183" s="1130">
        <v>14</v>
      </c>
      <c r="B183" s="1168" t="s">
        <v>29</v>
      </c>
      <c r="C183" s="1205" t="s">
        <v>1507</v>
      </c>
      <c r="D183" s="1204"/>
      <c r="E183" s="1206">
        <v>2003</v>
      </c>
      <c r="F183" s="1289" t="s">
        <v>1699</v>
      </c>
      <c r="G183" s="1192"/>
      <c r="H183" s="1160"/>
      <c r="I183" s="1138">
        <v>48.8</v>
      </c>
      <c r="J183" s="747" t="str">
        <f t="shared" si="3"/>
        <v>I</v>
      </c>
      <c r="K183" s="1164"/>
    </row>
    <row r="184" spans="1:11">
      <c r="A184" s="1130">
        <v>15</v>
      </c>
      <c r="B184" s="1207" t="s">
        <v>1</v>
      </c>
      <c r="C184" s="1205" t="s">
        <v>1497</v>
      </c>
      <c r="D184" s="1204"/>
      <c r="E184" s="1206">
        <v>2002</v>
      </c>
      <c r="F184" s="1289" t="s">
        <v>1690</v>
      </c>
      <c r="G184" s="1192"/>
      <c r="H184" s="1160"/>
      <c r="I184" s="1138">
        <v>49.43</v>
      </c>
      <c r="J184" s="747" t="str">
        <f t="shared" si="3"/>
        <v>I</v>
      </c>
      <c r="K184" s="1203"/>
    </row>
    <row r="185" spans="1:11">
      <c r="A185" s="1130">
        <v>16</v>
      </c>
      <c r="B185" s="1202" t="s">
        <v>15</v>
      </c>
      <c r="C185" s="1205" t="s">
        <v>1506</v>
      </c>
      <c r="D185" s="1204"/>
      <c r="E185" s="1207">
        <v>1996</v>
      </c>
      <c r="F185" s="1215" t="s">
        <v>1709</v>
      </c>
      <c r="G185" s="1192"/>
      <c r="H185" s="1160"/>
      <c r="I185" s="1138">
        <v>49.46</v>
      </c>
      <c r="J185" s="747" t="str">
        <f t="shared" si="3"/>
        <v>I</v>
      </c>
      <c r="K185" s="765"/>
    </row>
    <row r="186" spans="1:11">
      <c r="A186" s="1130">
        <v>17</v>
      </c>
      <c r="B186" s="1207" t="s">
        <v>29</v>
      </c>
      <c r="C186" s="1205" t="s">
        <v>1391</v>
      </c>
      <c r="D186" s="1204"/>
      <c r="E186" s="1206">
        <v>2003</v>
      </c>
      <c r="F186" s="1289" t="s">
        <v>1699</v>
      </c>
      <c r="G186" s="1192"/>
      <c r="H186" s="1160"/>
      <c r="I186" s="1138">
        <v>50.02</v>
      </c>
      <c r="J186" s="747" t="str">
        <f t="shared" si="3"/>
        <v>I</v>
      </c>
      <c r="K186" s="1203"/>
    </row>
    <row r="187" spans="1:11">
      <c r="A187" s="1130">
        <v>18</v>
      </c>
      <c r="B187" s="1207" t="s">
        <v>1</v>
      </c>
      <c r="C187" s="1205" t="s">
        <v>1498</v>
      </c>
      <c r="D187" s="1204"/>
      <c r="E187" s="1206">
        <v>2003</v>
      </c>
      <c r="F187" s="1289" t="s">
        <v>1690</v>
      </c>
      <c r="G187" s="1192"/>
      <c r="H187" s="1160"/>
      <c r="I187" s="1138">
        <v>50.37</v>
      </c>
      <c r="J187" s="747" t="str">
        <f t="shared" si="3"/>
        <v>I</v>
      </c>
      <c r="K187" s="1203"/>
    </row>
    <row r="188" spans="1:11">
      <c r="A188" s="1130">
        <v>19</v>
      </c>
      <c r="B188" s="1207" t="s">
        <v>29</v>
      </c>
      <c r="C188" s="1205" t="s">
        <v>1378</v>
      </c>
      <c r="D188" s="1204"/>
      <c r="E188" s="1206">
        <v>2002</v>
      </c>
      <c r="F188" s="1289" t="s">
        <v>1690</v>
      </c>
      <c r="G188" s="1192"/>
      <c r="H188" s="1160"/>
      <c r="I188" s="1138">
        <v>50.66</v>
      </c>
      <c r="J188" s="747" t="str">
        <f t="shared" si="3"/>
        <v>I</v>
      </c>
      <c r="K188" s="1203"/>
    </row>
    <row r="189" spans="1:11">
      <c r="A189" s="1130">
        <v>20</v>
      </c>
      <c r="B189" s="1207" t="s">
        <v>1</v>
      </c>
      <c r="C189" s="1205" t="s">
        <v>1500</v>
      </c>
      <c r="D189" s="1204"/>
      <c r="E189" s="1206">
        <v>2003</v>
      </c>
      <c r="F189" s="1289" t="s">
        <v>1690</v>
      </c>
      <c r="G189" s="1192"/>
      <c r="H189" s="1160"/>
      <c r="I189" s="1138">
        <v>50.67</v>
      </c>
      <c r="J189" s="747" t="str">
        <f t="shared" si="3"/>
        <v>I</v>
      </c>
      <c r="K189" s="1203"/>
    </row>
    <row r="190" spans="1:11">
      <c r="A190" s="1130">
        <v>21</v>
      </c>
      <c r="B190" s="1207" t="s">
        <v>29</v>
      </c>
      <c r="C190" s="1205" t="s">
        <v>1543</v>
      </c>
      <c r="D190" s="1204"/>
      <c r="E190" s="1206">
        <v>1999</v>
      </c>
      <c r="F190" s="1215" t="s">
        <v>1722</v>
      </c>
      <c r="G190" s="1192"/>
      <c r="H190" s="1160"/>
      <c r="I190" s="1138">
        <v>51.04</v>
      </c>
      <c r="J190" s="747" t="str">
        <f t="shared" si="3"/>
        <v>II</v>
      </c>
      <c r="K190" s="1196"/>
    </row>
    <row r="191" spans="1:11">
      <c r="A191" s="1130">
        <v>22</v>
      </c>
      <c r="B191" s="1202" t="s">
        <v>15</v>
      </c>
      <c r="C191" s="1205" t="s">
        <v>1505</v>
      </c>
      <c r="D191" s="1204"/>
      <c r="E191" s="1206">
        <v>2000</v>
      </c>
      <c r="F191" s="1289" t="s">
        <v>1709</v>
      </c>
      <c r="G191" s="1155"/>
      <c r="H191" s="1160"/>
      <c r="I191" s="1138">
        <v>51.63</v>
      </c>
      <c r="J191" s="747" t="str">
        <f t="shared" si="3"/>
        <v>II</v>
      </c>
      <c r="K191" s="765"/>
    </row>
    <row r="192" spans="1:11">
      <c r="A192" s="1130">
        <v>23</v>
      </c>
      <c r="B192" s="1207" t="s">
        <v>13</v>
      </c>
      <c r="C192" s="1205" t="s">
        <v>1499</v>
      </c>
      <c r="D192" s="1204"/>
      <c r="E192" s="1206">
        <v>2003</v>
      </c>
      <c r="F192" s="1289" t="s">
        <v>1690</v>
      </c>
      <c r="G192" s="1192"/>
      <c r="H192" s="1160"/>
      <c r="I192" s="1138">
        <v>53.67</v>
      </c>
      <c r="J192" s="747" t="str">
        <f t="shared" si="3"/>
        <v>II</v>
      </c>
      <c r="K192" s="1203"/>
    </row>
    <row r="193" spans="1:11">
      <c r="A193" s="1130"/>
      <c r="B193" s="1207" t="s">
        <v>29</v>
      </c>
      <c r="C193" s="1205" t="s">
        <v>1504</v>
      </c>
      <c r="D193" s="1204"/>
      <c r="E193" s="1206">
        <v>1997</v>
      </c>
      <c r="F193" s="23" t="s">
        <v>1723</v>
      </c>
      <c r="G193" s="1192"/>
      <c r="H193" s="1160"/>
      <c r="I193" s="1138" t="s">
        <v>1622</v>
      </c>
      <c r="J193" s="1270"/>
      <c r="K193" s="1135"/>
    </row>
    <row r="194" spans="1:11">
      <c r="A194" s="1210"/>
      <c r="B194" s="1207" t="s">
        <v>27</v>
      </c>
      <c r="C194" s="1205" t="s">
        <v>1417</v>
      </c>
      <c r="D194" s="1204"/>
      <c r="E194" s="1206">
        <v>2003</v>
      </c>
      <c r="F194" s="1289" t="s">
        <v>1699</v>
      </c>
      <c r="G194" s="766"/>
      <c r="H194" s="1160"/>
      <c r="I194" s="1138" t="s">
        <v>1622</v>
      </c>
      <c r="J194" s="1196"/>
      <c r="K194" s="1196"/>
    </row>
    <row r="195" spans="1:11">
      <c r="A195" s="1130"/>
      <c r="B195" s="535"/>
      <c r="C195" s="524"/>
      <c r="D195" s="542"/>
      <c r="E195" s="542"/>
      <c r="F195" s="542"/>
      <c r="G195" s="542"/>
      <c r="H195" s="1164"/>
      <c r="I195" s="1138"/>
      <c r="J195" s="1270"/>
      <c r="K195" s="1164"/>
    </row>
    <row r="196" spans="1:11">
      <c r="A196" s="1130"/>
      <c r="B196" s="1207"/>
      <c r="C196" s="1205"/>
      <c r="D196" s="1204"/>
      <c r="E196" s="1206"/>
      <c r="F196" s="1215"/>
      <c r="G196" s="1215"/>
      <c r="H196" s="1160"/>
      <c r="I196" s="1138"/>
      <c r="J196" s="1196"/>
      <c r="K196" s="1196"/>
    </row>
    <row r="197" spans="1:11">
      <c r="A197" s="1130"/>
      <c r="B197" s="1210"/>
      <c r="C197" s="524" t="s">
        <v>1687</v>
      </c>
      <c r="D197" s="525"/>
      <c r="E197" s="526"/>
      <c r="F197" s="524"/>
      <c r="G197" s="524"/>
      <c r="H197" s="1196"/>
      <c r="I197" s="1138"/>
      <c r="J197" s="1196"/>
      <c r="K197" s="1135"/>
    </row>
    <row r="198" spans="1:11">
      <c r="A198" s="1130"/>
      <c r="B198" s="1207"/>
      <c r="C198" s="1205"/>
      <c r="D198" s="1204"/>
      <c r="E198" s="1206"/>
      <c r="F198" s="1215"/>
      <c r="G198" s="1215"/>
      <c r="H198" s="1160"/>
      <c r="I198" s="1138"/>
      <c r="J198" s="1196"/>
      <c r="K198" s="1196"/>
    </row>
    <row r="199" spans="1:11" ht="9" customHeight="1">
      <c r="A199" s="1130"/>
      <c r="B199" s="1207"/>
      <c r="C199" s="1205"/>
      <c r="D199" s="1204"/>
      <c r="E199" s="1129"/>
      <c r="F199" s="1215"/>
      <c r="G199" s="1215"/>
      <c r="H199" s="1160"/>
      <c r="I199" s="1138"/>
      <c r="J199" s="1196"/>
      <c r="K199" s="1196"/>
    </row>
    <row r="200" spans="1:11">
      <c r="A200" s="1130">
        <v>1</v>
      </c>
      <c r="B200" s="1207" t="s">
        <v>25</v>
      </c>
      <c r="C200" s="1205" t="s">
        <v>554</v>
      </c>
      <c r="D200" s="1204"/>
      <c r="E200" s="1206">
        <v>1995</v>
      </c>
      <c r="F200" s="27" t="s">
        <v>1691</v>
      </c>
      <c r="G200" s="766"/>
      <c r="H200" s="1187"/>
      <c r="I200" s="1138" t="s">
        <v>1631</v>
      </c>
      <c r="J200" s="747" t="s">
        <v>1</v>
      </c>
      <c r="K200" s="1196"/>
    </row>
    <row r="201" spans="1:11">
      <c r="A201" s="1130">
        <v>2</v>
      </c>
      <c r="B201" s="1207" t="s">
        <v>1</v>
      </c>
      <c r="C201" s="1205" t="s">
        <v>1524</v>
      </c>
      <c r="D201" s="1204"/>
      <c r="E201" s="1206">
        <v>2003</v>
      </c>
      <c r="F201" s="1215" t="s">
        <v>1693</v>
      </c>
      <c r="G201" s="766"/>
      <c r="H201" s="1187"/>
      <c r="I201" s="1138" t="s">
        <v>1632</v>
      </c>
      <c r="J201" s="747" t="s">
        <v>1</v>
      </c>
      <c r="K201" s="1196"/>
    </row>
    <row r="202" spans="1:11">
      <c r="A202" s="1130"/>
      <c r="B202" s="1207"/>
      <c r="C202" s="1205"/>
      <c r="D202" s="1204"/>
      <c r="E202" s="1206"/>
      <c r="F202" s="1215"/>
      <c r="G202" s="766"/>
      <c r="H202" s="1187"/>
      <c r="I202" s="1138"/>
      <c r="J202" s="1196"/>
      <c r="K202" s="1196"/>
    </row>
    <row r="203" spans="1:11">
      <c r="A203" s="1130"/>
      <c r="B203" s="1210"/>
      <c r="C203" s="1143" t="s">
        <v>1687</v>
      </c>
      <c r="D203" s="1284"/>
      <c r="E203" s="1285"/>
      <c r="F203" s="1143"/>
      <c r="G203" s="1295"/>
      <c r="H203" s="1196"/>
      <c r="I203" s="1138"/>
      <c r="J203" s="1196"/>
      <c r="K203" s="1196"/>
    </row>
    <row r="204" spans="1:11">
      <c r="A204" s="1130"/>
      <c r="B204" s="1207"/>
      <c r="C204" s="1205"/>
      <c r="D204" s="1204"/>
      <c r="E204" s="1206"/>
      <c r="F204" s="1215"/>
      <c r="G204" s="766"/>
      <c r="H204" s="1160"/>
      <c r="I204" s="1138"/>
      <c r="J204" s="747"/>
      <c r="K204" s="1196"/>
    </row>
    <row r="205" spans="1:11">
      <c r="A205" s="1130">
        <v>1</v>
      </c>
      <c r="B205" s="1207" t="s">
        <v>29</v>
      </c>
      <c r="C205" s="1205" t="s">
        <v>1373</v>
      </c>
      <c r="D205" s="1204"/>
      <c r="E205" s="1206">
        <v>2002</v>
      </c>
      <c r="F205" s="1289" t="s">
        <v>1693</v>
      </c>
      <c r="G205" s="766"/>
      <c r="H205" s="1160"/>
      <c r="I205" s="1138" t="s">
        <v>1633</v>
      </c>
      <c r="J205" s="1136" t="s">
        <v>15</v>
      </c>
      <c r="K205" s="1196"/>
    </row>
    <row r="206" spans="1:11">
      <c r="A206" s="1130"/>
      <c r="B206" s="1207"/>
      <c r="C206" s="1205"/>
      <c r="D206" s="1204"/>
      <c r="E206" s="1206"/>
      <c r="F206" s="1215"/>
      <c r="G206" s="766"/>
      <c r="H206" s="1160"/>
      <c r="I206" s="1138"/>
      <c r="J206" s="1196"/>
      <c r="K206" s="1196"/>
    </row>
    <row r="207" spans="1:11">
      <c r="A207" s="1130"/>
      <c r="B207" s="1207"/>
      <c r="C207" s="1143" t="s">
        <v>1688</v>
      </c>
      <c r="D207" s="1284"/>
      <c r="E207" s="1285"/>
      <c r="F207" s="1143"/>
      <c r="G207" s="1215"/>
      <c r="H207" s="1160"/>
      <c r="I207" s="1138"/>
      <c r="J207" s="1196"/>
      <c r="K207" s="1196"/>
    </row>
    <row r="208" spans="1:11">
      <c r="A208" s="1130"/>
      <c r="B208" s="1158"/>
      <c r="C208" s="1205"/>
      <c r="D208" s="1204"/>
      <c r="E208" s="1206"/>
      <c r="F208" s="1215"/>
      <c r="G208" s="1215"/>
      <c r="H208" s="1162"/>
      <c r="I208" s="1138"/>
      <c r="J208" s="1196"/>
      <c r="K208" s="1196"/>
    </row>
    <row r="209" spans="1:11">
      <c r="A209" s="1130">
        <v>1</v>
      </c>
      <c r="B209" s="1207" t="s">
        <v>23</v>
      </c>
      <c r="C209" s="1205" t="s">
        <v>552</v>
      </c>
      <c r="D209" s="1204"/>
      <c r="E209" s="1206">
        <v>1993</v>
      </c>
      <c r="F209" s="1205" t="s">
        <v>1705</v>
      </c>
      <c r="G209" s="767"/>
      <c r="H209" s="1159"/>
      <c r="I209" s="1138" t="s">
        <v>1642</v>
      </c>
      <c r="J209" s="747" t="s">
        <v>29</v>
      </c>
      <c r="K209" s="1210"/>
    </row>
    <row r="210" spans="1:11">
      <c r="A210" s="1130">
        <v>2</v>
      </c>
      <c r="B210" s="1207" t="s">
        <v>27</v>
      </c>
      <c r="C210" s="1205" t="s">
        <v>1541</v>
      </c>
      <c r="D210" s="1204"/>
      <c r="E210" s="1206">
        <v>2003</v>
      </c>
      <c r="F210" s="1215" t="s">
        <v>1724</v>
      </c>
      <c r="G210" s="767"/>
      <c r="H210" s="1159"/>
      <c r="I210" s="1138" t="s">
        <v>1639</v>
      </c>
      <c r="J210" s="747" t="s">
        <v>29</v>
      </c>
      <c r="K210" s="1203"/>
    </row>
    <row r="211" spans="1:11">
      <c r="A211" s="1130">
        <v>3</v>
      </c>
      <c r="B211" s="1207" t="s">
        <v>27</v>
      </c>
      <c r="C211" s="1205" t="s">
        <v>1535</v>
      </c>
      <c r="D211" s="1204"/>
      <c r="E211" s="1206">
        <v>2002</v>
      </c>
      <c r="F211" s="1215" t="s">
        <v>1716</v>
      </c>
      <c r="G211" s="767"/>
      <c r="H211" s="1159"/>
      <c r="I211" s="1138" t="s">
        <v>1641</v>
      </c>
      <c r="J211" s="747" t="s">
        <v>29</v>
      </c>
      <c r="K211" s="1196"/>
    </row>
    <row r="212" spans="1:11">
      <c r="A212" s="1130">
        <v>4</v>
      </c>
      <c r="B212" s="1207" t="s">
        <v>27</v>
      </c>
      <c r="C212" s="1205" t="s">
        <v>595</v>
      </c>
      <c r="D212" s="1204"/>
      <c r="E212" s="1206">
        <v>2000</v>
      </c>
      <c r="F212" s="1205" t="s">
        <v>1695</v>
      </c>
      <c r="G212" s="767"/>
      <c r="H212" s="1159"/>
      <c r="I212" s="1138" t="s">
        <v>1640</v>
      </c>
      <c r="J212" s="747" t="s">
        <v>1</v>
      </c>
      <c r="K212" s="1196"/>
    </row>
    <row r="213" spans="1:11">
      <c r="A213" s="1130">
        <v>5</v>
      </c>
      <c r="B213" s="1168" t="s">
        <v>27</v>
      </c>
      <c r="C213" s="1205" t="s">
        <v>666</v>
      </c>
      <c r="D213" s="1193"/>
      <c r="E213" s="1206">
        <v>2003</v>
      </c>
      <c r="F213" s="1205" t="s">
        <v>1699</v>
      </c>
      <c r="G213" s="767"/>
      <c r="H213" s="1159"/>
      <c r="I213" s="1138" t="s">
        <v>1643</v>
      </c>
      <c r="J213" s="747" t="s">
        <v>1</v>
      </c>
      <c r="K213" s="1196"/>
    </row>
    <row r="214" spans="1:11">
      <c r="A214" s="1130">
        <v>6</v>
      </c>
      <c r="B214" s="1207" t="s">
        <v>29</v>
      </c>
      <c r="C214" s="1205" t="s">
        <v>1434</v>
      </c>
      <c r="D214" s="1193"/>
      <c r="E214" s="1206">
        <v>2003</v>
      </c>
      <c r="F214" s="1205" t="s">
        <v>1699</v>
      </c>
      <c r="G214" s="767"/>
      <c r="H214" s="1159"/>
      <c r="I214" s="1138" t="s">
        <v>1644</v>
      </c>
      <c r="J214" s="747" t="s">
        <v>13</v>
      </c>
      <c r="K214" s="1196"/>
    </row>
    <row r="215" spans="1:11">
      <c r="A215" s="1130">
        <v>7</v>
      </c>
      <c r="B215" s="1197" t="s">
        <v>27</v>
      </c>
      <c r="C215" s="767" t="s">
        <v>567</v>
      </c>
      <c r="D215" s="1204"/>
      <c r="E215" s="1203">
        <v>1999</v>
      </c>
      <c r="F215" s="767" t="s">
        <v>1695</v>
      </c>
      <c r="G215" s="767"/>
      <c r="H215" s="1159"/>
      <c r="I215" s="1138" t="s">
        <v>1645</v>
      </c>
      <c r="J215" s="747" t="s">
        <v>13</v>
      </c>
      <c r="K215" s="1196"/>
    </row>
    <row r="216" spans="1:11">
      <c r="A216" s="1130"/>
      <c r="F216" s="1207"/>
      <c r="J216" s="1196"/>
      <c r="K216" s="1196"/>
    </row>
    <row r="217" spans="1:11">
      <c r="A217" s="1130"/>
      <c r="C217" s="1143" t="s">
        <v>1689</v>
      </c>
      <c r="D217" s="1284"/>
      <c r="E217" s="1285"/>
      <c r="F217" s="1143"/>
      <c r="G217" s="1215"/>
      <c r="H217" s="1160"/>
      <c r="I217" s="1138"/>
      <c r="J217" s="1196"/>
      <c r="K217" s="1196"/>
    </row>
    <row r="218" spans="1:11">
      <c r="A218" s="1130"/>
      <c r="B218" s="1207"/>
      <c r="C218" s="1205"/>
      <c r="D218" s="1204"/>
      <c r="E218" s="1206"/>
      <c r="F218" s="1215"/>
      <c r="G218" s="1215"/>
      <c r="H218" s="1160"/>
      <c r="I218" s="1138"/>
      <c r="J218" s="1196"/>
      <c r="K218" s="1196"/>
    </row>
    <row r="219" spans="1:11">
      <c r="A219" s="1130">
        <v>1</v>
      </c>
      <c r="B219" s="1202" t="s">
        <v>25</v>
      </c>
      <c r="C219" s="1205" t="s">
        <v>1462</v>
      </c>
      <c r="D219" s="1204"/>
      <c r="E219" s="1206">
        <v>2001</v>
      </c>
      <c r="F219" s="23" t="s">
        <v>1711</v>
      </c>
      <c r="G219" s="766"/>
      <c r="H219" s="1159"/>
      <c r="I219" s="1138" t="s">
        <v>1647</v>
      </c>
      <c r="J219" s="747" t="s">
        <v>29</v>
      </c>
      <c r="K219" s="1196"/>
    </row>
    <row r="220" spans="1:11">
      <c r="A220" s="1130">
        <v>2</v>
      </c>
      <c r="B220" s="1207" t="s">
        <v>25</v>
      </c>
      <c r="C220" s="1169" t="s">
        <v>619</v>
      </c>
      <c r="D220" s="1189"/>
      <c r="E220" s="1206">
        <v>1995</v>
      </c>
      <c r="F220" s="1215" t="s">
        <v>1695</v>
      </c>
      <c r="G220" s="766"/>
      <c r="H220" s="1159"/>
      <c r="I220" s="1138" t="s">
        <v>1650</v>
      </c>
      <c r="J220" s="747" t="s">
        <v>1</v>
      </c>
      <c r="K220" s="1196"/>
    </row>
    <row r="221" spans="1:11">
      <c r="A221" s="1130">
        <v>3</v>
      </c>
      <c r="B221" s="1207" t="s">
        <v>27</v>
      </c>
      <c r="C221" s="1205" t="s">
        <v>1529</v>
      </c>
      <c r="D221" s="1204"/>
      <c r="E221" s="1206">
        <v>2003</v>
      </c>
      <c r="F221" s="1215" t="s">
        <v>1725</v>
      </c>
      <c r="G221" s="766"/>
      <c r="H221" s="1159"/>
      <c r="I221" s="1138" t="s">
        <v>1648</v>
      </c>
      <c r="J221" s="747" t="s">
        <v>1</v>
      </c>
      <c r="K221" s="1196"/>
    </row>
    <row r="222" spans="1:11">
      <c r="A222" s="1130"/>
      <c r="B222" s="1207"/>
      <c r="C222" s="1205"/>
      <c r="D222" s="1204"/>
      <c r="E222" s="1206"/>
      <c r="F222" s="1215"/>
      <c r="G222" s="766"/>
      <c r="H222" s="1133"/>
      <c r="I222" s="1138"/>
      <c r="J222" s="747"/>
      <c r="K222" s="1196"/>
    </row>
    <row r="223" spans="1:11">
      <c r="A223" s="1130"/>
      <c r="B223" s="1207"/>
      <c r="G223" s="1215"/>
      <c r="H223" s="1160"/>
      <c r="I223" s="1138"/>
      <c r="J223" s="1196"/>
      <c r="K223" s="1196"/>
    </row>
    <row r="224" spans="1:11">
      <c r="B224" s="1132"/>
      <c r="C224" s="1298" t="s">
        <v>1679</v>
      </c>
      <c r="D224" s="1298"/>
      <c r="E224" s="1299"/>
      <c r="F224" s="1300"/>
      <c r="G224" s="1301"/>
      <c r="H224" s="1210"/>
      <c r="I224" s="1138"/>
      <c r="J224" s="1196"/>
      <c r="K224" s="1210"/>
    </row>
    <row r="225" spans="1:11">
      <c r="B225" s="586"/>
      <c r="C225" s="1192"/>
      <c r="D225" s="1185"/>
      <c r="E225" s="1237"/>
      <c r="F225" s="1244"/>
      <c r="G225" s="1238"/>
      <c r="H225" s="1239"/>
      <c r="I225" s="1138"/>
      <c r="J225" s="1196"/>
      <c r="K225" s="539"/>
    </row>
    <row r="226" spans="1:11">
      <c r="A226" s="1335">
        <v>1</v>
      </c>
      <c r="B226" s="1377"/>
      <c r="C226" s="1384"/>
      <c r="D226" s="1379"/>
      <c r="E226" s="1380"/>
      <c r="F226" s="1386" t="s">
        <v>1690</v>
      </c>
      <c r="G226" s="1381"/>
      <c r="H226" s="1382"/>
      <c r="I226" s="1341" t="s">
        <v>1651</v>
      </c>
      <c r="J226" s="1426"/>
      <c r="K226" s="1384"/>
    </row>
    <row r="227" spans="1:11">
      <c r="A227" s="1130"/>
      <c r="B227" s="1236" t="s">
        <v>25</v>
      </c>
      <c r="C227" s="287" t="s">
        <v>654</v>
      </c>
      <c r="D227" s="1185"/>
      <c r="E227" s="1237">
        <v>1999</v>
      </c>
      <c r="F227" s="1244"/>
      <c r="G227" s="1238"/>
      <c r="H227" s="1239"/>
      <c r="I227" s="1138">
        <v>22.8</v>
      </c>
      <c r="J227" s="1395" t="s">
        <v>29</v>
      </c>
      <c r="K227" s="539"/>
    </row>
    <row r="228" spans="1:11">
      <c r="A228" s="1130"/>
      <c r="B228" s="1236" t="s">
        <v>27</v>
      </c>
      <c r="C228" s="287" t="s">
        <v>1426</v>
      </c>
      <c r="D228" s="1185"/>
      <c r="E228" s="1237">
        <v>2000</v>
      </c>
      <c r="F228" s="1244"/>
      <c r="G228" s="1238"/>
      <c r="H228" s="1239"/>
      <c r="I228" s="1138"/>
      <c r="J228" s="1395"/>
      <c r="K228" s="539"/>
    </row>
    <row r="229" spans="1:11">
      <c r="A229" s="1130"/>
      <c r="B229" s="1236" t="s">
        <v>27</v>
      </c>
      <c r="C229" s="539" t="s">
        <v>1359</v>
      </c>
      <c r="D229" s="539"/>
      <c r="E229" s="538">
        <v>2003</v>
      </c>
      <c r="F229" s="1275"/>
      <c r="G229" s="539"/>
      <c r="H229" s="1241"/>
      <c r="I229" s="1138"/>
      <c r="J229" s="1395"/>
      <c r="K229" s="539"/>
    </row>
    <row r="230" spans="1:11">
      <c r="A230" s="539"/>
      <c r="B230" s="538" t="s">
        <v>25</v>
      </c>
      <c r="C230" s="539" t="s">
        <v>580</v>
      </c>
      <c r="D230" s="539"/>
      <c r="E230" s="538">
        <v>1998</v>
      </c>
      <c r="F230" s="1276"/>
      <c r="G230" s="539"/>
      <c r="H230" s="539"/>
      <c r="I230" s="1138"/>
      <c r="J230" s="1395"/>
      <c r="K230" s="539"/>
    </row>
    <row r="231" spans="1:11">
      <c r="A231" s="539"/>
      <c r="B231" s="538"/>
      <c r="C231" s="539"/>
      <c r="D231" s="539"/>
      <c r="E231" s="538"/>
      <c r="F231" s="1276"/>
      <c r="G231" s="539"/>
      <c r="H231" s="539"/>
      <c r="I231" s="1138"/>
      <c r="J231" s="1395"/>
      <c r="K231" s="539"/>
    </row>
    <row r="232" spans="1:11">
      <c r="A232" s="1335">
        <v>2</v>
      </c>
      <c r="B232" s="1440"/>
      <c r="C232" s="1378"/>
      <c r="D232" s="1379"/>
      <c r="E232" s="1380"/>
      <c r="F232" s="1386" t="s">
        <v>1691</v>
      </c>
      <c r="G232" s="1381"/>
      <c r="H232" s="1382"/>
      <c r="I232" s="1341" t="s">
        <v>1652</v>
      </c>
      <c r="J232" s="1426"/>
      <c r="K232" s="1384"/>
    </row>
    <row r="233" spans="1:11">
      <c r="A233" s="1130"/>
      <c r="B233" s="586" t="s">
        <v>27</v>
      </c>
      <c r="C233" s="1192" t="s">
        <v>1347</v>
      </c>
      <c r="D233" s="1185"/>
      <c r="E233" s="1237">
        <v>2003</v>
      </c>
      <c r="F233" s="1244"/>
      <c r="G233" s="1238"/>
      <c r="H233" s="1239"/>
      <c r="I233" s="1138">
        <v>23.47</v>
      </c>
      <c r="J233" s="1395" t="s">
        <v>29</v>
      </c>
      <c r="K233" s="539"/>
    </row>
    <row r="234" spans="1:11">
      <c r="A234" s="1130"/>
      <c r="B234" s="1236" t="s">
        <v>25</v>
      </c>
      <c r="C234" s="539" t="s">
        <v>554</v>
      </c>
      <c r="D234" s="539"/>
      <c r="E234" s="538">
        <v>1995</v>
      </c>
      <c r="F234" s="1244"/>
      <c r="G234" s="539"/>
      <c r="H234" s="1239"/>
      <c r="I234" s="1138"/>
      <c r="J234" s="1395"/>
      <c r="K234" s="539"/>
    </row>
    <row r="235" spans="1:11">
      <c r="A235" s="1130"/>
      <c r="B235" s="1236" t="s">
        <v>1</v>
      </c>
      <c r="C235" s="1192" t="s">
        <v>1547</v>
      </c>
      <c r="D235" s="1185"/>
      <c r="E235" s="1237">
        <v>2000</v>
      </c>
      <c r="F235" s="1244"/>
      <c r="G235" s="1238"/>
      <c r="H235" s="1239"/>
      <c r="I235" s="1138"/>
      <c r="J235" s="1395"/>
      <c r="K235" s="539"/>
    </row>
    <row r="236" spans="1:11">
      <c r="A236" s="1130"/>
      <c r="B236" s="1236" t="s">
        <v>27</v>
      </c>
      <c r="C236" s="287" t="s">
        <v>1413</v>
      </c>
      <c r="D236" s="1185"/>
      <c r="E236" s="1237">
        <v>1999</v>
      </c>
      <c r="F236" s="1244"/>
      <c r="G236" s="1238"/>
      <c r="H236" s="1239"/>
      <c r="I236" s="1138"/>
      <c r="J236" s="1395"/>
      <c r="K236" s="539"/>
    </row>
    <row r="237" spans="1:11">
      <c r="A237" s="1130"/>
      <c r="B237" s="538"/>
      <c r="C237" s="539"/>
      <c r="D237" s="539"/>
      <c r="E237" s="169"/>
      <c r="F237" s="1276"/>
      <c r="G237" s="539"/>
      <c r="H237" s="539"/>
      <c r="I237" s="1138"/>
      <c r="J237" s="1395"/>
      <c r="K237" s="539"/>
    </row>
    <row r="238" spans="1:11">
      <c r="A238" s="1384">
        <v>3</v>
      </c>
      <c r="B238" s="1377"/>
      <c r="C238" s="1379"/>
      <c r="D238" s="1384"/>
      <c r="E238" s="1437"/>
      <c r="F238" s="1387" t="s">
        <v>1692</v>
      </c>
      <c r="G238" s="1438"/>
      <c r="H238" s="1439"/>
      <c r="I238" s="1341" t="s">
        <v>1653</v>
      </c>
      <c r="J238" s="1426"/>
      <c r="K238" s="1384"/>
    </row>
    <row r="239" spans="1:11">
      <c r="A239" s="539"/>
      <c r="B239" s="538" t="s">
        <v>23</v>
      </c>
      <c r="C239" s="539" t="s">
        <v>1548</v>
      </c>
      <c r="D239" s="539"/>
      <c r="E239" s="538">
        <v>1999</v>
      </c>
      <c r="F239" s="1276"/>
      <c r="G239" s="539"/>
      <c r="H239" s="539"/>
      <c r="I239" s="1138">
        <v>23.02</v>
      </c>
      <c r="J239" s="1395" t="s">
        <v>29</v>
      </c>
      <c r="K239" s="539"/>
    </row>
    <row r="240" spans="1:11">
      <c r="A240" s="1130"/>
      <c r="B240" s="538" t="s">
        <v>27</v>
      </c>
      <c r="C240" s="539" t="s">
        <v>1536</v>
      </c>
      <c r="D240" s="539"/>
      <c r="E240" s="1237">
        <v>2003</v>
      </c>
      <c r="F240" s="1276"/>
      <c r="G240" s="539"/>
      <c r="H240" s="539"/>
      <c r="I240" s="1138"/>
      <c r="J240" s="1395"/>
      <c r="K240" s="539"/>
    </row>
    <row r="241" spans="1:11">
      <c r="A241" s="1130"/>
      <c r="B241" s="1236" t="s">
        <v>1</v>
      </c>
      <c r="C241" s="287" t="s">
        <v>1537</v>
      </c>
      <c r="D241" s="1185"/>
      <c r="E241" s="1237">
        <v>2003</v>
      </c>
      <c r="F241" s="1244"/>
      <c r="G241" s="1238"/>
      <c r="H241" s="1239"/>
      <c r="I241" s="1138"/>
      <c r="J241" s="1395"/>
      <c r="K241" s="539"/>
    </row>
    <row r="242" spans="1:11">
      <c r="A242" s="1130"/>
      <c r="B242" s="586" t="s">
        <v>27</v>
      </c>
      <c r="C242" s="1192" t="s">
        <v>1549</v>
      </c>
      <c r="D242" s="1185"/>
      <c r="E242" s="1237">
        <v>2001</v>
      </c>
      <c r="F242" s="1244"/>
      <c r="G242" s="1238"/>
      <c r="H242" s="1239"/>
      <c r="I242" s="1138"/>
      <c r="J242" s="1395"/>
      <c r="K242" s="539"/>
    </row>
    <row r="243" spans="1:11">
      <c r="A243" s="1130"/>
      <c r="B243" s="586"/>
      <c r="C243" s="1192"/>
      <c r="D243" s="1185"/>
      <c r="E243" s="1237"/>
      <c r="F243" s="1244"/>
      <c r="G243" s="1238"/>
      <c r="H243" s="1239"/>
      <c r="I243" s="1138"/>
      <c r="J243" s="1395"/>
      <c r="K243" s="539"/>
    </row>
    <row r="244" spans="1:11">
      <c r="A244" s="1335">
        <v>4</v>
      </c>
      <c r="B244" s="1377"/>
      <c r="C244" s="1381"/>
      <c r="D244" s="1381"/>
      <c r="E244" s="1380"/>
      <c r="F244" s="1435" t="s">
        <v>1693</v>
      </c>
      <c r="G244" s="1381"/>
      <c r="H244" s="1436"/>
      <c r="I244" s="1341" t="s">
        <v>1654</v>
      </c>
      <c r="J244" s="1426"/>
      <c r="K244" s="1384"/>
    </row>
    <row r="245" spans="1:11">
      <c r="A245" s="1130"/>
      <c r="B245" s="1236" t="s">
        <v>29</v>
      </c>
      <c r="C245" s="287" t="s">
        <v>1414</v>
      </c>
      <c r="D245" s="1185"/>
      <c r="E245" s="1237">
        <v>2001</v>
      </c>
      <c r="F245" s="1244"/>
      <c r="G245" s="1238"/>
      <c r="H245" s="1239"/>
      <c r="I245" s="1138">
        <v>24.79</v>
      </c>
      <c r="J245" s="1395" t="s">
        <v>1</v>
      </c>
      <c r="K245" s="539"/>
    </row>
    <row r="246" spans="1:11">
      <c r="A246" s="1130"/>
      <c r="B246" s="1236" t="s">
        <v>29</v>
      </c>
      <c r="C246" s="1192" t="s">
        <v>1409</v>
      </c>
      <c r="D246" s="1185"/>
      <c r="E246" s="1237">
        <v>2003</v>
      </c>
      <c r="F246" s="1244"/>
      <c r="G246" s="1238"/>
      <c r="H246" s="1239"/>
      <c r="I246" s="1138"/>
      <c r="J246" s="1395"/>
      <c r="K246" s="539"/>
    </row>
    <row r="247" spans="1:11">
      <c r="A247" s="1130"/>
      <c r="B247" s="1236" t="s">
        <v>1</v>
      </c>
      <c r="C247" s="1192" t="s">
        <v>1364</v>
      </c>
      <c r="D247" s="1185"/>
      <c r="E247" s="1237">
        <v>2000</v>
      </c>
      <c r="F247" s="1244"/>
      <c r="G247" s="1238"/>
      <c r="H247" s="1239"/>
      <c r="I247" s="1138"/>
      <c r="J247" s="1395"/>
      <c r="K247" s="539"/>
    </row>
    <row r="248" spans="1:11">
      <c r="A248" s="1130"/>
      <c r="B248" s="1236" t="s">
        <v>27</v>
      </c>
      <c r="C248" s="287" t="s">
        <v>666</v>
      </c>
      <c r="D248" s="1185"/>
      <c r="E248" s="1237">
        <v>2003</v>
      </c>
      <c r="F248" s="1244"/>
      <c r="G248" s="1238"/>
      <c r="H248" s="1239"/>
      <c r="I248" s="1138"/>
      <c r="J248" s="1395"/>
      <c r="K248" s="539"/>
    </row>
    <row r="249" spans="1:11">
      <c r="A249" s="1130"/>
      <c r="B249" s="586"/>
      <c r="C249" s="287"/>
      <c r="D249" s="1185"/>
      <c r="E249" s="1237"/>
      <c r="F249" s="1238"/>
      <c r="G249" s="1238"/>
      <c r="H249" s="1239"/>
      <c r="I249" s="1138"/>
      <c r="J249" s="1395"/>
      <c r="K249" s="539"/>
    </row>
    <row r="250" spans="1:11">
      <c r="A250" s="1335">
        <v>5</v>
      </c>
      <c r="B250" s="1385"/>
      <c r="C250" s="1384"/>
      <c r="D250" s="1384"/>
      <c r="E250" s="1383"/>
      <c r="F250" s="1387" t="s">
        <v>1694</v>
      </c>
      <c r="G250" s="1384"/>
      <c r="H250" s="1384"/>
      <c r="I250" s="1341" t="s">
        <v>1655</v>
      </c>
      <c r="J250" s="1388"/>
      <c r="K250" s="1384"/>
    </row>
    <row r="251" spans="1:11">
      <c r="A251" s="1130"/>
      <c r="B251" s="1235" t="s">
        <v>27</v>
      </c>
      <c r="C251" s="539" t="s">
        <v>1423</v>
      </c>
      <c r="D251" s="539"/>
      <c r="E251" s="538">
        <v>2002</v>
      </c>
      <c r="F251" s="1242"/>
      <c r="G251" s="539"/>
      <c r="H251" s="1210"/>
      <c r="I251" s="1138">
        <v>24.7</v>
      </c>
      <c r="J251" s="1333" t="s">
        <v>1</v>
      </c>
      <c r="K251" s="539"/>
    </row>
    <row r="252" spans="1:11">
      <c r="A252" s="539"/>
      <c r="B252" s="1235" t="s">
        <v>27</v>
      </c>
      <c r="C252" s="539" t="s">
        <v>567</v>
      </c>
      <c r="D252" s="539"/>
      <c r="E252" s="538">
        <v>1999</v>
      </c>
      <c r="F252" s="1242"/>
      <c r="G252" s="539"/>
      <c r="H252" s="539"/>
      <c r="I252" s="1138"/>
      <c r="J252" s="1333"/>
      <c r="K252" s="539"/>
    </row>
    <row r="253" spans="1:11">
      <c r="A253" s="539"/>
      <c r="B253" s="1236" t="s">
        <v>1</v>
      </c>
      <c r="C253" s="539" t="s">
        <v>1432</v>
      </c>
      <c r="D253" s="539"/>
      <c r="E253" s="538">
        <v>2003</v>
      </c>
      <c r="F253" s="1242"/>
      <c r="G253" s="539"/>
      <c r="H253" s="539"/>
      <c r="I253" s="1138"/>
      <c r="J253" s="1333"/>
      <c r="K253" s="539"/>
    </row>
    <row r="254" spans="1:11">
      <c r="A254" s="539"/>
      <c r="B254" s="538" t="s">
        <v>27</v>
      </c>
      <c r="C254" s="539" t="s">
        <v>1403</v>
      </c>
      <c r="D254" s="539"/>
      <c r="E254" s="538">
        <v>1998</v>
      </c>
      <c r="F254" s="1242"/>
      <c r="G254" s="539"/>
      <c r="H254" s="539"/>
      <c r="I254" s="1138"/>
      <c r="J254" s="1333"/>
      <c r="K254" s="539"/>
    </row>
    <row r="255" spans="1:11">
      <c r="A255" s="1130"/>
      <c r="B255" s="539"/>
      <c r="C255" s="539"/>
      <c r="D255" s="539"/>
      <c r="E255" s="169"/>
      <c r="F255" s="1243"/>
      <c r="G255" s="539"/>
      <c r="H255" s="539"/>
      <c r="I255" s="1138"/>
      <c r="J255" s="1333"/>
      <c r="K255" s="539"/>
    </row>
    <row r="256" spans="1:11">
      <c r="A256" s="1130"/>
      <c r="B256" s="1207"/>
      <c r="C256" s="1298" t="s">
        <v>1678</v>
      </c>
      <c r="D256" s="1298"/>
      <c r="E256" s="1299"/>
      <c r="F256" s="1300"/>
      <c r="G256" s="1298"/>
      <c r="H256" s="1133"/>
      <c r="I256" s="1138"/>
      <c r="J256" s="1333"/>
      <c r="K256" s="1196"/>
    </row>
    <row r="257" spans="1:11">
      <c r="A257" s="1130"/>
      <c r="B257" s="1202"/>
      <c r="C257" s="1157"/>
      <c r="D257" s="1204"/>
      <c r="E257" s="1206"/>
      <c r="F257" s="1247"/>
      <c r="G257" s="1215"/>
      <c r="H257" s="1160"/>
      <c r="I257" s="1138"/>
      <c r="J257" s="1333"/>
      <c r="K257" s="1131"/>
    </row>
    <row r="258" spans="1:11">
      <c r="A258" s="1335">
        <v>1</v>
      </c>
      <c r="B258" s="1369"/>
      <c r="C258" s="1336"/>
      <c r="D258" s="1337"/>
      <c r="E258" s="1338"/>
      <c r="F258" s="1368" t="s">
        <v>1695</v>
      </c>
      <c r="G258" s="1371"/>
      <c r="H258" s="1340"/>
      <c r="I258" s="1341" t="s">
        <v>1656</v>
      </c>
      <c r="J258" s="1388"/>
      <c r="K258" s="1343"/>
    </row>
    <row r="259" spans="1:11">
      <c r="A259" s="1130"/>
      <c r="B259" s="1207" t="s">
        <v>27</v>
      </c>
      <c r="C259" s="1205" t="s">
        <v>1349</v>
      </c>
      <c r="D259" s="1204"/>
      <c r="E259" s="1206">
        <v>2003</v>
      </c>
      <c r="F259" s="1247"/>
      <c r="G259" s="1215"/>
      <c r="H259" s="1160"/>
      <c r="I259" s="1138">
        <v>20.9</v>
      </c>
      <c r="J259" s="1333" t="s">
        <v>29</v>
      </c>
      <c r="K259" s="1131"/>
    </row>
    <row r="260" spans="1:11">
      <c r="A260" s="1130"/>
      <c r="B260" s="1207" t="s">
        <v>27</v>
      </c>
      <c r="C260" s="1157" t="s">
        <v>1532</v>
      </c>
      <c r="D260" s="1204"/>
      <c r="E260" s="1206">
        <v>1999</v>
      </c>
      <c r="F260" s="1247"/>
      <c r="G260" s="1215"/>
      <c r="H260" s="1160"/>
      <c r="I260" s="1138"/>
      <c r="J260" s="1333"/>
      <c r="K260" s="1131"/>
    </row>
    <row r="261" spans="1:11">
      <c r="A261" s="539"/>
      <c r="B261" s="1207" t="s">
        <v>27</v>
      </c>
      <c r="C261" s="1205" t="s">
        <v>1408</v>
      </c>
      <c r="D261" s="1204"/>
      <c r="E261" s="1206">
        <v>2001</v>
      </c>
      <c r="F261" s="1247"/>
      <c r="G261" s="1215"/>
      <c r="H261" s="1160"/>
      <c r="I261" s="1138"/>
      <c r="J261" s="1333"/>
      <c r="K261" s="1131"/>
    </row>
    <row r="262" spans="1:11">
      <c r="A262" s="539"/>
      <c r="B262" s="1202" t="s">
        <v>29</v>
      </c>
      <c r="C262" s="1205" t="s">
        <v>1496</v>
      </c>
      <c r="D262" s="1204"/>
      <c r="E262" s="1206">
        <v>2001</v>
      </c>
      <c r="F262" s="1247"/>
      <c r="G262" s="1215"/>
      <c r="H262" s="1160"/>
      <c r="I262" s="1138"/>
      <c r="J262" s="1333"/>
      <c r="K262" s="1131"/>
    </row>
    <row r="263" spans="1:11">
      <c r="A263" s="1130"/>
      <c r="B263" s="1207"/>
      <c r="C263" s="1205"/>
      <c r="D263" s="1204"/>
      <c r="E263" s="1206"/>
      <c r="F263" s="1247"/>
      <c r="G263" s="1215"/>
      <c r="H263" s="1160"/>
      <c r="I263" s="1138"/>
      <c r="J263" s="1333"/>
      <c r="K263" s="1131"/>
    </row>
    <row r="264" spans="1:11">
      <c r="A264" s="1335">
        <v>2</v>
      </c>
      <c r="B264" s="1369"/>
      <c r="C264" s="1371"/>
      <c r="D264" s="1371"/>
      <c r="E264" s="1338"/>
      <c r="F264" s="1433" t="s">
        <v>1696</v>
      </c>
      <c r="G264" s="1371"/>
      <c r="H264" s="1434"/>
      <c r="I264" s="1341" t="s">
        <v>1657</v>
      </c>
      <c r="J264" s="1388"/>
      <c r="K264" s="1343"/>
    </row>
    <row r="265" spans="1:11">
      <c r="A265" s="539"/>
      <c r="B265" s="1201" t="s">
        <v>27</v>
      </c>
      <c r="C265" s="1157" t="s">
        <v>1374</v>
      </c>
      <c r="D265" s="1204"/>
      <c r="E265" s="1206">
        <v>2003</v>
      </c>
      <c r="F265" s="1247"/>
      <c r="G265" s="1215"/>
      <c r="H265" s="1160"/>
      <c r="I265" s="1138">
        <v>21.55</v>
      </c>
      <c r="J265" s="1333" t="s">
        <v>1</v>
      </c>
      <c r="K265" s="1131"/>
    </row>
    <row r="266" spans="1:11">
      <c r="A266" s="1130"/>
      <c r="B266" s="1202" t="s">
        <v>29</v>
      </c>
      <c r="C266" s="1205" t="s">
        <v>1348</v>
      </c>
      <c r="D266" s="1204"/>
      <c r="E266" s="1206">
        <v>2003</v>
      </c>
      <c r="F266" s="1247"/>
      <c r="G266" s="1215"/>
      <c r="H266" s="1160"/>
      <c r="I266" s="1138"/>
      <c r="J266" s="1333"/>
      <c r="K266" s="1131"/>
    </row>
    <row r="267" spans="1:11">
      <c r="A267" s="1130"/>
      <c r="B267" s="1132" t="s">
        <v>29</v>
      </c>
      <c r="C267" s="1135" t="s">
        <v>1416</v>
      </c>
      <c r="D267" s="1135"/>
      <c r="E267" s="1132">
        <v>2003</v>
      </c>
      <c r="F267" s="1248"/>
      <c r="G267" s="1135"/>
      <c r="H267" s="1133"/>
      <c r="I267" s="1138"/>
      <c r="J267" s="1333"/>
      <c r="K267" s="1131"/>
    </row>
    <row r="268" spans="1:11">
      <c r="A268" s="1130"/>
      <c r="B268" s="538" t="s">
        <v>27</v>
      </c>
      <c r="C268" s="539" t="s">
        <v>1501</v>
      </c>
      <c r="D268" s="539"/>
      <c r="E268" s="1206">
        <v>1998</v>
      </c>
      <c r="F268" s="1243"/>
      <c r="G268" s="539"/>
      <c r="H268" s="1131"/>
      <c r="I268" s="1138"/>
      <c r="J268" s="1333"/>
      <c r="K268" s="1131"/>
    </row>
    <row r="269" spans="1:11">
      <c r="A269" s="1130"/>
      <c r="B269" s="538"/>
      <c r="C269" s="539"/>
      <c r="D269" s="539"/>
      <c r="E269" s="1206"/>
      <c r="F269" s="1243"/>
      <c r="G269" s="539"/>
      <c r="H269" s="1131"/>
      <c r="I269" s="1138"/>
      <c r="J269" s="1333"/>
      <c r="K269" s="1131"/>
    </row>
    <row r="270" spans="1:11">
      <c r="A270" s="1335">
        <v>3</v>
      </c>
      <c r="B270" s="1383"/>
      <c r="C270" s="1384"/>
      <c r="D270" s="1384"/>
      <c r="E270" s="1383"/>
      <c r="F270" s="1387" t="s">
        <v>1692</v>
      </c>
      <c r="G270" s="1384"/>
      <c r="H270" s="1343"/>
      <c r="I270" s="1341" t="s">
        <v>1658</v>
      </c>
      <c r="J270" s="1388"/>
      <c r="K270" s="1343"/>
    </row>
    <row r="271" spans="1:11">
      <c r="A271" s="1130"/>
      <c r="B271" s="538" t="s">
        <v>27</v>
      </c>
      <c r="C271" s="539" t="s">
        <v>1550</v>
      </c>
      <c r="D271" s="539"/>
      <c r="E271" s="1206">
        <v>2003</v>
      </c>
      <c r="F271" s="1243"/>
      <c r="G271" s="539"/>
      <c r="H271" s="1131"/>
      <c r="I271" s="1138">
        <v>20.52</v>
      </c>
      <c r="J271" s="1333" t="s">
        <v>29</v>
      </c>
      <c r="K271" s="1131"/>
    </row>
    <row r="272" spans="1:11">
      <c r="A272" s="1130"/>
      <c r="B272" s="538" t="s">
        <v>13</v>
      </c>
      <c r="C272" s="539" t="s">
        <v>1551</v>
      </c>
      <c r="D272" s="539"/>
      <c r="E272" s="538">
        <v>2001</v>
      </c>
      <c r="F272" s="1243"/>
      <c r="G272" s="539"/>
      <c r="H272" s="1131"/>
      <c r="I272" s="1138"/>
      <c r="J272" s="1333"/>
      <c r="K272" s="1131"/>
    </row>
    <row r="273" spans="1:11">
      <c r="A273" s="1130"/>
      <c r="B273" s="1202" t="s">
        <v>29</v>
      </c>
      <c r="C273" s="1205" t="s">
        <v>1552</v>
      </c>
      <c r="D273" s="1204"/>
      <c r="E273" s="1206">
        <v>2000</v>
      </c>
      <c r="F273" s="1247"/>
      <c r="G273" s="1215"/>
      <c r="H273" s="1160"/>
      <c r="I273" s="1138"/>
      <c r="J273" s="1333"/>
      <c r="K273" s="1131"/>
    </row>
    <row r="274" spans="1:11">
      <c r="A274" s="1130"/>
      <c r="B274" s="1202" t="s">
        <v>29</v>
      </c>
      <c r="C274" s="1205" t="s">
        <v>1733</v>
      </c>
      <c r="D274" s="1204"/>
      <c r="E274" s="1206">
        <v>1999</v>
      </c>
      <c r="F274" s="1247"/>
      <c r="G274" s="23"/>
      <c r="H274" s="1160"/>
      <c r="I274" s="1138"/>
      <c r="J274" s="1333"/>
      <c r="K274" s="1131"/>
    </row>
    <row r="275" spans="1:11">
      <c r="A275" s="1130"/>
      <c r="B275" s="1207"/>
      <c r="C275" s="1205"/>
      <c r="D275" s="1205"/>
      <c r="E275" s="1206"/>
      <c r="F275" s="1249"/>
      <c r="G275" s="1215"/>
      <c r="H275" s="1162"/>
      <c r="I275" s="1138"/>
      <c r="J275" s="1333"/>
      <c r="K275" s="1131"/>
    </row>
    <row r="276" spans="1:11">
      <c r="A276" s="1335">
        <v>4</v>
      </c>
      <c r="B276" s="1369"/>
      <c r="C276" s="1336"/>
      <c r="D276" s="1336"/>
      <c r="E276" s="1338"/>
      <c r="F276" s="1433" t="s">
        <v>1697</v>
      </c>
      <c r="G276" s="1371"/>
      <c r="H276" s="1434"/>
      <c r="I276" s="1341" t="s">
        <v>1659</v>
      </c>
      <c r="J276" s="1388"/>
      <c r="K276" s="1343"/>
    </row>
    <row r="277" spans="1:11">
      <c r="A277" s="1130"/>
      <c r="B277" s="1201" t="s">
        <v>15</v>
      </c>
      <c r="C277" s="1157" t="s">
        <v>1506</v>
      </c>
      <c r="D277" s="1204"/>
      <c r="E277" s="1206">
        <v>1996</v>
      </c>
      <c r="F277" s="1247"/>
      <c r="G277" s="1215"/>
      <c r="H277" s="1160"/>
      <c r="I277" s="1138">
        <v>21.99</v>
      </c>
      <c r="J277" s="1333" t="s">
        <v>1</v>
      </c>
      <c r="K277" s="1131"/>
    </row>
    <row r="278" spans="1:11">
      <c r="A278" s="1130"/>
      <c r="B278" s="1201" t="s">
        <v>15</v>
      </c>
      <c r="C278" s="1205" t="s">
        <v>1505</v>
      </c>
      <c r="D278" s="1204"/>
      <c r="E278" s="1206">
        <v>2000</v>
      </c>
      <c r="F278" s="1247"/>
      <c r="G278" s="1215"/>
      <c r="H278" s="1160"/>
      <c r="I278" s="1138"/>
      <c r="J278" s="1333"/>
      <c r="K278" s="1131"/>
    </row>
    <row r="279" spans="1:11">
      <c r="A279" s="1210"/>
      <c r="B279" s="1201" t="s">
        <v>15</v>
      </c>
      <c r="C279" s="1205" t="s">
        <v>1455</v>
      </c>
      <c r="D279" s="1204"/>
      <c r="E279" s="1206">
        <v>2002</v>
      </c>
      <c r="F279" s="1247"/>
      <c r="G279" s="1215"/>
      <c r="H279" s="1160"/>
      <c r="I279" s="1138"/>
      <c r="J279" s="1333"/>
      <c r="K279" s="1131"/>
    </row>
    <row r="280" spans="1:11">
      <c r="A280" s="1210"/>
      <c r="B280" s="1201" t="s">
        <v>15</v>
      </c>
      <c r="C280" s="1205" t="s">
        <v>1456</v>
      </c>
      <c r="D280" s="1204"/>
      <c r="E280" s="1206">
        <v>2002</v>
      </c>
      <c r="F280" s="1247"/>
      <c r="G280" s="1215"/>
      <c r="H280" s="1160"/>
      <c r="I280" s="1138"/>
      <c r="J280" s="1333"/>
      <c r="K280" s="1131"/>
    </row>
    <row r="281" spans="1:11">
      <c r="A281" s="1130"/>
      <c r="B281" s="1132"/>
      <c r="C281" s="1135"/>
      <c r="D281" s="1135"/>
      <c r="E281" s="1132"/>
      <c r="F281" s="1135"/>
      <c r="G281" s="1135"/>
      <c r="H281" s="1133"/>
      <c r="I281" s="1138"/>
      <c r="J281" s="1333"/>
      <c r="K281" s="1131"/>
    </row>
    <row r="282" spans="1:11">
      <c r="A282" s="1335">
        <v>5</v>
      </c>
      <c r="B282" s="1369"/>
      <c r="C282" s="1343"/>
      <c r="D282" s="1337"/>
      <c r="E282" s="1338"/>
      <c r="F282" s="1368" t="s">
        <v>1699</v>
      </c>
      <c r="G282" s="1371"/>
      <c r="H282" s="1340"/>
      <c r="I282" s="1341" t="s">
        <v>1661</v>
      </c>
      <c r="J282" s="1388"/>
      <c r="K282" s="1343"/>
    </row>
    <row r="283" spans="1:11">
      <c r="A283" s="1130"/>
      <c r="B283" s="1132" t="s">
        <v>29</v>
      </c>
      <c r="C283" s="1135" t="s">
        <v>1390</v>
      </c>
      <c r="D283" s="1135"/>
      <c r="E283" s="1132">
        <v>2003</v>
      </c>
      <c r="F283" s="1248"/>
      <c r="G283" s="1135"/>
      <c r="H283" s="1133"/>
      <c r="I283" s="1138">
        <v>21.85</v>
      </c>
      <c r="J283" s="1333" t="s">
        <v>1</v>
      </c>
      <c r="K283" s="1131"/>
    </row>
    <row r="284" spans="1:11">
      <c r="A284" s="1130"/>
      <c r="B284" s="538" t="s">
        <v>29</v>
      </c>
      <c r="C284" s="539" t="s">
        <v>1373</v>
      </c>
      <c r="D284" s="539"/>
      <c r="E284" s="538">
        <v>2002</v>
      </c>
      <c r="F284" s="1243"/>
      <c r="G284" s="539"/>
      <c r="H284" s="1131"/>
      <c r="I284" s="1138"/>
      <c r="J284" s="1333"/>
      <c r="K284" s="1131"/>
    </row>
    <row r="285" spans="1:11">
      <c r="A285" s="1130"/>
      <c r="B285" s="538" t="s">
        <v>29</v>
      </c>
      <c r="C285" s="539" t="s">
        <v>1391</v>
      </c>
      <c r="D285" s="539"/>
      <c r="E285" s="538">
        <v>2003</v>
      </c>
      <c r="F285" s="1243"/>
      <c r="G285" s="539"/>
      <c r="H285" s="1131"/>
      <c r="I285" s="1138"/>
      <c r="J285" s="1333"/>
      <c r="K285" s="1131"/>
    </row>
    <row r="286" spans="1:11">
      <c r="A286" s="1130"/>
      <c r="B286" s="1236" t="s">
        <v>1</v>
      </c>
      <c r="C286" s="539" t="s">
        <v>1375</v>
      </c>
      <c r="D286" s="539"/>
      <c r="E286" s="538">
        <v>2002</v>
      </c>
      <c r="F286" s="1243"/>
      <c r="G286" s="539"/>
      <c r="H286" s="1131"/>
      <c r="I286" s="1138"/>
      <c r="J286" s="1333"/>
      <c r="K286" s="1131"/>
    </row>
    <row r="287" spans="1:11">
      <c r="A287" s="1130"/>
      <c r="B287" s="1236"/>
      <c r="C287" s="539"/>
      <c r="D287" s="539"/>
      <c r="E287" s="538"/>
      <c r="F287" s="1243"/>
      <c r="G287" s="539"/>
      <c r="H287" s="1131"/>
      <c r="I287" s="1138"/>
      <c r="J287" s="1333"/>
      <c r="K287" s="1131"/>
    </row>
    <row r="288" spans="1:11">
      <c r="A288" s="1384">
        <v>6</v>
      </c>
      <c r="B288" s="1384"/>
      <c r="C288" s="1384"/>
      <c r="D288" s="1384"/>
      <c r="E288" s="1384"/>
      <c r="F288" s="1432" t="s">
        <v>1698</v>
      </c>
      <c r="G288" s="1384"/>
      <c r="H288" s="1343"/>
      <c r="I288" s="1341" t="s">
        <v>1660</v>
      </c>
      <c r="J288" s="1388"/>
      <c r="K288" s="1343"/>
    </row>
    <row r="289" spans="1:11">
      <c r="A289" s="539"/>
      <c r="B289" s="1236" t="s">
        <v>1</v>
      </c>
      <c r="C289" s="1205" t="s">
        <v>1497</v>
      </c>
      <c r="D289" s="1204"/>
      <c r="E289" s="1206">
        <v>2002</v>
      </c>
      <c r="F289" s="1246"/>
      <c r="G289" s="1215"/>
      <c r="H289" s="1160"/>
      <c r="I289" s="1138">
        <v>22.81</v>
      </c>
      <c r="J289" s="1333" t="s">
        <v>1</v>
      </c>
      <c r="K289" s="1131"/>
    </row>
    <row r="290" spans="1:11">
      <c r="A290" s="539"/>
      <c r="B290" s="1207" t="s">
        <v>29</v>
      </c>
      <c r="C290" s="1205" t="s">
        <v>1389</v>
      </c>
      <c r="D290" s="1204"/>
      <c r="E290" s="1206">
        <v>2001</v>
      </c>
      <c r="F290" s="1247"/>
      <c r="G290" s="1215"/>
      <c r="H290" s="1160"/>
      <c r="I290" s="1138"/>
      <c r="J290" s="1333"/>
      <c r="K290" s="1131"/>
    </row>
    <row r="291" spans="1:11">
      <c r="A291" s="1130"/>
      <c r="B291" s="1207" t="s">
        <v>29</v>
      </c>
      <c r="C291" s="1205" t="s">
        <v>1378</v>
      </c>
      <c r="D291" s="1204"/>
      <c r="E291" s="1206">
        <v>2002</v>
      </c>
      <c r="F291" s="1247"/>
      <c r="G291" s="1215"/>
      <c r="H291" s="1160"/>
      <c r="I291" s="1138"/>
      <c r="J291" s="1333"/>
      <c r="K291" s="1131"/>
    </row>
    <row r="292" spans="1:11">
      <c r="A292" s="1130"/>
      <c r="B292" s="1207" t="s">
        <v>29</v>
      </c>
      <c r="C292" s="1205" t="s">
        <v>1377</v>
      </c>
      <c r="D292" s="1204"/>
      <c r="E292" s="1206">
        <v>2002</v>
      </c>
      <c r="F292" s="1247"/>
      <c r="G292" s="1215"/>
      <c r="H292" s="1160"/>
      <c r="I292" s="1138"/>
      <c r="J292" s="1333"/>
      <c r="K292" s="1131"/>
    </row>
    <row r="293" spans="1:11">
      <c r="A293" s="1130"/>
      <c r="B293" s="1158"/>
      <c r="C293" s="1205"/>
      <c r="D293" s="1204"/>
      <c r="E293" s="1206"/>
      <c r="F293" s="1215"/>
      <c r="G293" s="1215"/>
      <c r="H293" s="27"/>
      <c r="I293" s="1138"/>
    </row>
    <row r="294" spans="1:11">
      <c r="A294" s="1210"/>
      <c r="B294" s="1210"/>
      <c r="C294" s="524" t="s">
        <v>1813</v>
      </c>
      <c r="D294" s="525"/>
      <c r="E294" s="526"/>
      <c r="F294" s="524"/>
      <c r="G294" s="524"/>
      <c r="H294" s="537"/>
      <c r="I294" s="529"/>
    </row>
    <row r="295" spans="1:11" ht="10.5" customHeight="1">
      <c r="A295" s="133"/>
      <c r="C295" s="135"/>
      <c r="D295" s="133"/>
      <c r="E295" s="1129"/>
      <c r="F295" s="133"/>
      <c r="G295" s="133"/>
      <c r="H295" s="729"/>
      <c r="K295" s="732"/>
    </row>
    <row r="296" spans="1:11">
      <c r="A296" s="1130">
        <v>1</v>
      </c>
      <c r="B296" s="1207" t="s">
        <v>23</v>
      </c>
      <c r="C296" s="1167" t="s">
        <v>1736</v>
      </c>
      <c r="D296" s="1155"/>
      <c r="E296" s="1197">
        <v>1999</v>
      </c>
      <c r="F296" s="1313" t="s">
        <v>1707</v>
      </c>
      <c r="G296" s="766"/>
      <c r="I296" s="1160">
        <v>18.399999999999999</v>
      </c>
      <c r="J296" s="747" t="s">
        <v>29</v>
      </c>
      <c r="K296" s="1160"/>
    </row>
    <row r="297" spans="1:11">
      <c r="A297" s="1130">
        <v>2</v>
      </c>
      <c r="B297" s="1207" t="s">
        <v>25</v>
      </c>
      <c r="C297" s="1167" t="s">
        <v>1534</v>
      </c>
      <c r="D297" s="1155"/>
      <c r="E297" s="1194">
        <v>2003</v>
      </c>
      <c r="F297" s="1313" t="s">
        <v>1707</v>
      </c>
      <c r="G297" s="766"/>
      <c r="I297" s="1163">
        <v>19.41</v>
      </c>
      <c r="J297" s="747" t="str">
        <f t="shared" ref="J297:J302" si="4">IF(ISBLANK(I297)," ",IF(ISTEXT(I297)," ",IF(I297&lt;=18.1,"МСМК",IF(I297&lt;=19,"МС",IF(I297&lt;=19.7,"КМС",IF(I297&lt;=21.1,"I",IF(I297&lt;=22.9,"II",IF(I297&lt;=24.8,"III",IF(I297&lt;=27.4,"I юн",IF(I297&lt;=30,"II юн",IF(I297&lt;=32.4,"III юн",IF(ISTEXT(I297)," ",IF(ISBLANK(I297)," ","б/р")))))))))))))</f>
        <v>КМС</v>
      </c>
      <c r="K297" s="1160"/>
    </row>
    <row r="298" spans="1:11">
      <c r="A298" s="1130">
        <v>3</v>
      </c>
      <c r="B298" s="1207" t="s">
        <v>27</v>
      </c>
      <c r="C298" s="1205" t="s">
        <v>1735</v>
      </c>
      <c r="D298" s="1204"/>
      <c r="E298" s="1206">
        <v>2001</v>
      </c>
      <c r="F298" s="1310" t="s">
        <v>1711</v>
      </c>
      <c r="G298" s="766"/>
      <c r="I298" s="1160">
        <v>20.079999999999998</v>
      </c>
      <c r="J298" s="747" t="str">
        <f t="shared" si="4"/>
        <v>I</v>
      </c>
      <c r="K298" s="1160"/>
    </row>
    <row r="299" spans="1:11">
      <c r="A299" s="1130">
        <v>4</v>
      </c>
      <c r="B299" s="1207" t="s">
        <v>27</v>
      </c>
      <c r="C299" s="1167" t="s">
        <v>1734</v>
      </c>
      <c r="D299" s="1155"/>
      <c r="E299" s="1194">
        <v>2001</v>
      </c>
      <c r="F299" s="1313" t="s">
        <v>1707</v>
      </c>
      <c r="G299" s="766"/>
      <c r="I299" s="1160">
        <v>20.65</v>
      </c>
      <c r="J299" s="747" t="str">
        <f t="shared" si="4"/>
        <v>I</v>
      </c>
    </row>
    <row r="300" spans="1:11">
      <c r="A300" s="1130">
        <v>5</v>
      </c>
      <c r="B300" s="1207" t="s">
        <v>29</v>
      </c>
      <c r="C300" s="1205" t="s">
        <v>1441</v>
      </c>
      <c r="D300" s="1204"/>
      <c r="E300" s="1206">
        <v>2003</v>
      </c>
      <c r="F300" s="1310" t="s">
        <v>1699</v>
      </c>
      <c r="G300" s="766"/>
      <c r="I300" s="1160">
        <v>22.21</v>
      </c>
      <c r="J300" s="747" t="str">
        <f t="shared" si="4"/>
        <v>II</v>
      </c>
    </row>
    <row r="301" spans="1:11">
      <c r="A301" s="1130">
        <v>6</v>
      </c>
      <c r="B301" s="1207" t="s">
        <v>1</v>
      </c>
      <c r="C301" s="1205" t="s">
        <v>1435</v>
      </c>
      <c r="D301" s="1204"/>
      <c r="E301" s="1206">
        <v>2003</v>
      </c>
      <c r="F301" s="1312" t="s">
        <v>1699</v>
      </c>
      <c r="G301" s="766"/>
      <c r="I301" s="1160">
        <v>22.78</v>
      </c>
      <c r="J301" s="747" t="str">
        <f t="shared" si="4"/>
        <v>II</v>
      </c>
      <c r="K301" s="1160"/>
    </row>
    <row r="302" spans="1:11">
      <c r="A302" s="1130">
        <v>7</v>
      </c>
      <c r="B302" s="1207" t="s">
        <v>1</v>
      </c>
      <c r="C302" s="1167" t="s">
        <v>1480</v>
      </c>
      <c r="D302" s="1314"/>
      <c r="E302" s="1194">
        <v>2002</v>
      </c>
      <c r="F302" s="1313" t="s">
        <v>1707</v>
      </c>
      <c r="G302" s="766"/>
      <c r="I302" s="1160">
        <v>23.49</v>
      </c>
      <c r="J302" s="747" t="str">
        <f t="shared" si="4"/>
        <v>III</v>
      </c>
      <c r="K302" s="1315"/>
    </row>
    <row r="303" spans="1:11">
      <c r="A303" s="1130"/>
      <c r="B303" s="1207" t="s">
        <v>27</v>
      </c>
      <c r="C303" s="1205" t="s">
        <v>1347</v>
      </c>
      <c r="D303" s="1204"/>
      <c r="E303" s="1206">
        <v>2003</v>
      </c>
      <c r="F303" s="1310" t="s">
        <v>1691</v>
      </c>
      <c r="G303" s="766"/>
      <c r="I303" s="1160" t="s">
        <v>1621</v>
      </c>
      <c r="K303" s="1160"/>
    </row>
    <row r="304" spans="1:11">
      <c r="A304" s="1130"/>
      <c r="B304" s="1207"/>
      <c r="C304" s="1205"/>
      <c r="D304" s="1204"/>
      <c r="E304" s="1206"/>
      <c r="F304" s="1310"/>
      <c r="G304" s="766"/>
      <c r="I304" s="1160"/>
      <c r="K304" s="1160"/>
    </row>
    <row r="305" spans="1:11">
      <c r="A305" s="1130"/>
      <c r="B305" s="1207"/>
      <c r="C305" s="524" t="s">
        <v>1814</v>
      </c>
      <c r="D305" s="525"/>
      <c r="E305" s="526"/>
      <c r="F305" s="524"/>
    </row>
    <row r="306" spans="1:11">
      <c r="A306" s="1130"/>
      <c r="B306" s="1207"/>
      <c r="C306" s="524"/>
      <c r="D306" s="525"/>
      <c r="E306" s="526"/>
      <c r="F306" s="524"/>
    </row>
    <row r="307" spans="1:11">
      <c r="A307" s="1130">
        <v>1</v>
      </c>
      <c r="B307" s="1177" t="s">
        <v>23</v>
      </c>
      <c r="C307" s="1157" t="s">
        <v>1453</v>
      </c>
      <c r="D307" s="1166"/>
      <c r="E307" s="1206">
        <v>2002</v>
      </c>
      <c r="F307" s="1310" t="s">
        <v>1712</v>
      </c>
      <c r="G307" s="767"/>
      <c r="I307" s="1160">
        <v>15.97</v>
      </c>
      <c r="J307" s="747" t="s">
        <v>29</v>
      </c>
      <c r="K307" s="1160"/>
    </row>
    <row r="308" spans="1:11">
      <c r="A308" s="1130">
        <v>2</v>
      </c>
      <c r="B308" s="1202" t="s">
        <v>25</v>
      </c>
      <c r="C308" s="1318" t="s">
        <v>1738</v>
      </c>
      <c r="D308" s="1204"/>
      <c r="E308" s="1203">
        <v>1997</v>
      </c>
      <c r="F308" s="17" t="s">
        <v>1464</v>
      </c>
      <c r="G308" s="767"/>
      <c r="I308" s="1160">
        <v>16.7</v>
      </c>
      <c r="J308" s="747" t="s">
        <v>29</v>
      </c>
      <c r="K308" s="1160"/>
    </row>
    <row r="309" spans="1:11">
      <c r="A309" s="1130">
        <v>3</v>
      </c>
      <c r="B309" s="1197" t="s">
        <v>27</v>
      </c>
      <c r="C309" s="1317" t="s">
        <v>1461</v>
      </c>
      <c r="D309" s="1315"/>
      <c r="E309" s="1194">
        <v>2003</v>
      </c>
      <c r="F309" s="1313" t="s">
        <v>1707</v>
      </c>
      <c r="G309" s="767"/>
      <c r="I309" s="1160">
        <v>17.100000000000001</v>
      </c>
      <c r="J309" s="747" t="str">
        <f t="shared" ref="J309:J321" si="5">IF(ISBLANK(I309)," ",IF(ISTEXT(I309)," ",IF(I309&lt;=15.9,"МСМК",IF(I309&lt;=16.9,"МС",IF(I309&lt;=17.6,"КМС",IF(I309&lt;=18.5,"I",IF(I309&lt;=20.1,"II",IF(I309&lt;=21.9,"III",IF(I309&lt;=24,"I юн",IF(I309&lt;=26.2,"II юн",IF(I309&lt;=28.4,"III юн","б/р")))))))))))</f>
        <v>КМС</v>
      </c>
      <c r="K309" s="1160"/>
    </row>
    <row r="310" spans="1:11">
      <c r="A310" s="1130">
        <v>4</v>
      </c>
      <c r="B310" s="1207" t="s">
        <v>27</v>
      </c>
      <c r="C310" s="1167" t="s">
        <v>1459</v>
      </c>
      <c r="D310" s="1166"/>
      <c r="E310" s="1194">
        <v>2003</v>
      </c>
      <c r="F310" s="1313" t="s">
        <v>1707</v>
      </c>
      <c r="G310" s="767"/>
      <c r="I310" s="1163">
        <v>17.149999999999999</v>
      </c>
      <c r="J310" s="747" t="str">
        <f t="shared" si="5"/>
        <v>КМС</v>
      </c>
      <c r="K310" s="1203"/>
    </row>
    <row r="311" spans="1:11">
      <c r="A311" s="1130">
        <v>5</v>
      </c>
      <c r="B311" s="1197" t="s">
        <v>27</v>
      </c>
      <c r="C311" s="1317" t="s">
        <v>1460</v>
      </c>
      <c r="D311" s="1315"/>
      <c r="E311" s="1194">
        <v>2003</v>
      </c>
      <c r="F311" s="1313" t="s">
        <v>1707</v>
      </c>
      <c r="G311" s="767"/>
      <c r="I311" s="1160">
        <v>17.75</v>
      </c>
      <c r="J311" s="747" t="str">
        <f t="shared" si="5"/>
        <v>I</v>
      </c>
      <c r="K311" s="1203"/>
    </row>
    <row r="312" spans="1:11">
      <c r="A312" s="1130">
        <v>6</v>
      </c>
      <c r="B312" s="1207" t="s">
        <v>27</v>
      </c>
      <c r="C312" s="1205" t="s">
        <v>1532</v>
      </c>
      <c r="D312" s="1204"/>
      <c r="E312" s="1206">
        <v>1999</v>
      </c>
      <c r="F312" s="1205" t="s">
        <v>1695</v>
      </c>
      <c r="G312" s="767"/>
      <c r="I312" s="1160">
        <v>18.07</v>
      </c>
      <c r="J312" s="747" t="str">
        <f t="shared" si="5"/>
        <v>I</v>
      </c>
      <c r="K312" s="1163"/>
    </row>
    <row r="313" spans="1:11">
      <c r="A313" s="1130">
        <v>7</v>
      </c>
      <c r="B313" s="1207" t="s">
        <v>27</v>
      </c>
      <c r="C313" s="1167" t="s">
        <v>1458</v>
      </c>
      <c r="D313" s="1166"/>
      <c r="E313" s="1194">
        <v>2001</v>
      </c>
      <c r="F313" s="1313" t="s">
        <v>1707</v>
      </c>
      <c r="G313" s="767"/>
      <c r="I313" s="1163">
        <v>18.18</v>
      </c>
      <c r="J313" s="747" t="str">
        <f t="shared" si="5"/>
        <v>I</v>
      </c>
      <c r="K313" s="1176"/>
    </row>
    <row r="314" spans="1:11">
      <c r="A314" s="1130">
        <v>8</v>
      </c>
      <c r="B314" s="1177" t="s">
        <v>15</v>
      </c>
      <c r="C314" s="1205" t="s">
        <v>1455</v>
      </c>
      <c r="D314" s="1204"/>
      <c r="E314" s="1206">
        <v>2002</v>
      </c>
      <c r="F314" s="1310" t="s">
        <v>1709</v>
      </c>
      <c r="G314" s="767"/>
      <c r="I314" s="1160">
        <v>18.52</v>
      </c>
      <c r="J314" s="747" t="str">
        <f t="shared" si="5"/>
        <v>II</v>
      </c>
      <c r="K314" s="1203"/>
    </row>
    <row r="315" spans="1:11">
      <c r="A315" s="1130">
        <v>9</v>
      </c>
      <c r="B315" s="1207" t="s">
        <v>29</v>
      </c>
      <c r="C315" s="1205" t="s">
        <v>1389</v>
      </c>
      <c r="D315" s="1204"/>
      <c r="E315" s="1206">
        <v>2001</v>
      </c>
      <c r="F315" s="1205" t="s">
        <v>1695</v>
      </c>
      <c r="G315" s="767"/>
      <c r="I315" s="1160">
        <v>18.71</v>
      </c>
      <c r="J315" s="747" t="str">
        <f t="shared" si="5"/>
        <v>II</v>
      </c>
      <c r="K315" s="1160"/>
    </row>
    <row r="316" spans="1:11">
      <c r="A316" s="1130">
        <v>10</v>
      </c>
      <c r="B316" s="1207" t="s">
        <v>1</v>
      </c>
      <c r="C316" s="1205" t="s">
        <v>1375</v>
      </c>
      <c r="D316" s="1204"/>
      <c r="E316" s="1206">
        <v>2002</v>
      </c>
      <c r="F316" s="1312" t="s">
        <v>1699</v>
      </c>
      <c r="G316" s="767"/>
      <c r="I316" s="1160">
        <v>19.649999999999999</v>
      </c>
      <c r="J316" s="747" t="str">
        <f t="shared" si="5"/>
        <v>II</v>
      </c>
      <c r="K316" s="1160"/>
    </row>
    <row r="317" spans="1:11">
      <c r="A317" s="1130">
        <v>11</v>
      </c>
      <c r="B317" s="1177" t="s">
        <v>15</v>
      </c>
      <c r="C317" s="1205" t="s">
        <v>1456</v>
      </c>
      <c r="D317" s="1204"/>
      <c r="E317" s="1206">
        <v>2002</v>
      </c>
      <c r="F317" s="1312" t="s">
        <v>1709</v>
      </c>
      <c r="G317" s="767"/>
      <c r="I317" s="1160">
        <v>19.79</v>
      </c>
      <c r="J317" s="747" t="str">
        <f t="shared" si="5"/>
        <v>II</v>
      </c>
      <c r="K317" s="1203"/>
    </row>
    <row r="318" spans="1:11">
      <c r="A318" s="1130">
        <v>12</v>
      </c>
      <c r="B318" s="1177" t="s">
        <v>15</v>
      </c>
      <c r="C318" s="1205" t="s">
        <v>1506</v>
      </c>
      <c r="D318" s="1204"/>
      <c r="E318" s="1206">
        <v>1996</v>
      </c>
      <c r="F318" s="1312" t="s">
        <v>1709</v>
      </c>
      <c r="G318" s="767"/>
      <c r="I318" s="1160">
        <v>19.84</v>
      </c>
      <c r="J318" s="747" t="str">
        <f t="shared" si="5"/>
        <v>II</v>
      </c>
      <c r="K318" s="1203"/>
    </row>
    <row r="319" spans="1:11">
      <c r="A319" s="1130">
        <v>13</v>
      </c>
      <c r="B319" s="1207" t="s">
        <v>29</v>
      </c>
      <c r="C319" s="1205" t="s">
        <v>1377</v>
      </c>
      <c r="D319" s="1204"/>
      <c r="E319" s="1206">
        <v>2002</v>
      </c>
      <c r="F319" s="1205" t="s">
        <v>1695</v>
      </c>
      <c r="G319" s="767"/>
      <c r="I319" s="1160">
        <v>20.39</v>
      </c>
      <c r="J319" s="747" t="str">
        <f t="shared" si="5"/>
        <v>III</v>
      </c>
      <c r="K319" s="1160"/>
    </row>
    <row r="320" spans="1:11">
      <c r="A320" s="1130">
        <v>14</v>
      </c>
      <c r="B320" s="1207" t="s">
        <v>29</v>
      </c>
      <c r="C320" s="1205" t="s">
        <v>1390</v>
      </c>
      <c r="D320" s="1204"/>
      <c r="E320" s="1206">
        <v>2003</v>
      </c>
      <c r="F320" s="1312" t="s">
        <v>1699</v>
      </c>
      <c r="G320" s="767"/>
      <c r="I320" s="1162">
        <v>20.66</v>
      </c>
      <c r="J320" s="747" t="str">
        <f t="shared" si="5"/>
        <v>III</v>
      </c>
      <c r="K320" s="1160"/>
    </row>
    <row r="321" spans="1:11">
      <c r="A321" s="1130">
        <v>15</v>
      </c>
      <c r="B321" s="1202" t="s">
        <v>27</v>
      </c>
      <c r="C321" s="767" t="s">
        <v>1466</v>
      </c>
      <c r="D321" s="1204"/>
      <c r="E321" s="1203">
        <v>2001</v>
      </c>
      <c r="F321" s="1205" t="s">
        <v>1695</v>
      </c>
      <c r="G321" s="767"/>
      <c r="I321" s="1160">
        <v>20.83</v>
      </c>
      <c r="J321" s="747" t="str">
        <f t="shared" si="5"/>
        <v>III</v>
      </c>
      <c r="K321" s="1160"/>
    </row>
    <row r="322" spans="1:11">
      <c r="A322" s="1130"/>
      <c r="K322" s="1176"/>
    </row>
    <row r="323" spans="1:11">
      <c r="A323" s="1130"/>
      <c r="B323" s="535"/>
      <c r="C323" s="100"/>
      <c r="D323" s="1185"/>
      <c r="E323" s="534"/>
      <c r="F323" s="15"/>
      <c r="G323" s="1316"/>
      <c r="I323" s="1170"/>
      <c r="K323" s="1164"/>
    </row>
    <row r="324" spans="1:11">
      <c r="A324" s="57"/>
      <c r="B324" s="535"/>
      <c r="C324" s="524" t="s">
        <v>1815</v>
      </c>
      <c r="D324" s="542"/>
      <c r="E324" s="542"/>
      <c r="F324" s="542"/>
      <c r="G324" s="542"/>
      <c r="I324" s="1319"/>
      <c r="K324" s="1164"/>
    </row>
    <row r="325" spans="1:11">
      <c r="A325" s="1130"/>
      <c r="B325" s="1210"/>
      <c r="C325" s="1210"/>
      <c r="D325" s="1210"/>
      <c r="E325" s="1210"/>
      <c r="F325" s="1210"/>
      <c r="G325" s="1210"/>
      <c r="I325" s="1210"/>
      <c r="K325" s="1160"/>
    </row>
    <row r="326" spans="1:11">
      <c r="A326" s="1130">
        <v>1</v>
      </c>
      <c r="B326" s="1207" t="s">
        <v>25</v>
      </c>
      <c r="C326" s="1205" t="s">
        <v>654</v>
      </c>
      <c r="D326" s="1204"/>
      <c r="E326" s="1206">
        <v>1999</v>
      </c>
      <c r="F326" s="1205" t="s">
        <v>1695</v>
      </c>
      <c r="G326" s="766"/>
      <c r="I326" s="1160">
        <v>22.15</v>
      </c>
      <c r="J326" s="747" t="s">
        <v>29</v>
      </c>
      <c r="K326" s="1160"/>
    </row>
    <row r="327" spans="1:11">
      <c r="A327" s="1130">
        <v>2</v>
      </c>
      <c r="B327" s="1207" t="s">
        <v>27</v>
      </c>
      <c r="C327" s="1205" t="s">
        <v>1437</v>
      </c>
      <c r="D327" s="1204"/>
      <c r="E327" s="1206">
        <v>2002</v>
      </c>
      <c r="F327" s="766" t="s">
        <v>1727</v>
      </c>
      <c r="G327" s="766"/>
      <c r="I327" s="1160">
        <v>23.34</v>
      </c>
      <c r="J327" s="747" t="s">
        <v>29</v>
      </c>
      <c r="K327" s="1160"/>
    </row>
    <row r="328" spans="1:11">
      <c r="A328" s="1130">
        <v>3</v>
      </c>
      <c r="B328" s="1207" t="s">
        <v>27</v>
      </c>
      <c r="C328" s="1205" t="s">
        <v>1413</v>
      </c>
      <c r="D328" s="1204"/>
      <c r="E328" s="1206">
        <v>1998</v>
      </c>
      <c r="F328" s="1312" t="s">
        <v>1691</v>
      </c>
      <c r="G328" s="766"/>
      <c r="I328" s="1160">
        <v>23.39</v>
      </c>
      <c r="J328" s="747" t="s">
        <v>29</v>
      </c>
      <c r="K328" s="1160"/>
    </row>
    <row r="329" spans="1:11">
      <c r="A329" s="1130">
        <v>4</v>
      </c>
      <c r="B329" s="1207" t="s">
        <v>27</v>
      </c>
      <c r="C329" s="1167" t="s">
        <v>1734</v>
      </c>
      <c r="D329" s="1155"/>
      <c r="E329" s="1194">
        <v>2001</v>
      </c>
      <c r="F329" s="1313" t="s">
        <v>1707</v>
      </c>
      <c r="G329" s="766"/>
      <c r="I329" s="1163">
        <v>23.61</v>
      </c>
      <c r="J329" s="747" t="s">
        <v>29</v>
      </c>
      <c r="K329" s="1160"/>
    </row>
    <row r="330" spans="1:11">
      <c r="A330" s="1130">
        <v>5</v>
      </c>
      <c r="B330" s="1207" t="s">
        <v>27</v>
      </c>
      <c r="C330" s="1205" t="s">
        <v>1484</v>
      </c>
      <c r="D330" s="1204"/>
      <c r="E330" s="1206">
        <v>2001</v>
      </c>
      <c r="F330" s="1310" t="s">
        <v>1725</v>
      </c>
      <c r="G330" s="766"/>
      <c r="I330" s="1160">
        <v>23.85</v>
      </c>
      <c r="J330" s="747" t="str">
        <f t="shared" ref="J330:J349" si="6">IF(ISBLANK(I330)," ",IF(ISTEXT(I330)," ",IF(I330&lt;=22.3,"МСМК",IF(I330&lt;=23.7,"МС",IF(I330&lt;=24.6,"КМС",IF(I330&lt;=26.4,"I",IF(I330&lt;=28,"II",IF(I330&lt;=30.5,"III",IF(I330&lt;=33.5,"I юн",IF(I330&lt;=36.7,"II юн",IF(I330&lt;=39.8,"III юн","б/р")))))))))))</f>
        <v>КМС</v>
      </c>
      <c r="K330" s="1160"/>
    </row>
    <row r="331" spans="1:11">
      <c r="A331" s="1130">
        <v>6</v>
      </c>
      <c r="B331" s="1207" t="s">
        <v>25</v>
      </c>
      <c r="C331" s="1205" t="s">
        <v>580</v>
      </c>
      <c r="D331" s="1204"/>
      <c r="E331" s="1206">
        <v>1998</v>
      </c>
      <c r="F331" s="1205" t="s">
        <v>1695</v>
      </c>
      <c r="G331" s="766"/>
      <c r="I331" s="1160">
        <v>23.91</v>
      </c>
      <c r="J331" s="747" t="str">
        <f t="shared" si="6"/>
        <v>КМС</v>
      </c>
      <c r="K331" s="1160"/>
    </row>
    <row r="332" spans="1:11">
      <c r="A332" s="1130">
        <v>7</v>
      </c>
      <c r="B332" s="1177" t="s">
        <v>15</v>
      </c>
      <c r="C332" s="1205" t="s">
        <v>1476</v>
      </c>
      <c r="D332" s="1204"/>
      <c r="E332" s="1206">
        <v>2001</v>
      </c>
      <c r="F332" s="1312" t="s">
        <v>1709</v>
      </c>
      <c r="G332" s="766"/>
      <c r="I332" s="1160">
        <v>24.1</v>
      </c>
      <c r="J332" s="747" t="str">
        <f t="shared" si="6"/>
        <v>КМС</v>
      </c>
      <c r="K332" s="1160"/>
    </row>
    <row r="333" spans="1:11">
      <c r="A333" s="1130">
        <v>8</v>
      </c>
      <c r="B333" s="1207" t="s">
        <v>27</v>
      </c>
      <c r="C333" s="1205" t="s">
        <v>1487</v>
      </c>
      <c r="D333" s="1204"/>
      <c r="E333" s="1206">
        <v>2003</v>
      </c>
      <c r="F333" s="766" t="s">
        <v>1727</v>
      </c>
      <c r="G333" s="766"/>
      <c r="I333" s="1160">
        <v>24.16</v>
      </c>
      <c r="J333" s="747" t="str">
        <f t="shared" si="6"/>
        <v>КМС</v>
      </c>
      <c r="K333" s="1160"/>
    </row>
    <row r="334" spans="1:11">
      <c r="A334" s="1130">
        <v>9</v>
      </c>
      <c r="B334" s="1207" t="s">
        <v>27</v>
      </c>
      <c r="C334" s="1205" t="s">
        <v>1426</v>
      </c>
      <c r="D334" s="1204"/>
      <c r="E334" s="1206">
        <v>2000</v>
      </c>
      <c r="F334" s="1205" t="s">
        <v>1695</v>
      </c>
      <c r="G334" s="766"/>
      <c r="I334" s="1160">
        <v>24.16</v>
      </c>
      <c r="J334" s="747" t="str">
        <f t="shared" si="6"/>
        <v>КМС</v>
      </c>
      <c r="K334" s="1203"/>
    </row>
    <row r="335" spans="1:11">
      <c r="A335" s="1130">
        <v>10</v>
      </c>
      <c r="B335" s="1207" t="s">
        <v>27</v>
      </c>
      <c r="C335" s="1167" t="s">
        <v>1481</v>
      </c>
      <c r="D335" s="1155"/>
      <c r="E335" s="1194">
        <v>2003</v>
      </c>
      <c r="F335" s="1313" t="s">
        <v>1707</v>
      </c>
      <c r="G335" s="766"/>
      <c r="I335" s="1163">
        <v>24.39</v>
      </c>
      <c r="J335" s="747" t="str">
        <f t="shared" si="6"/>
        <v>КМС</v>
      </c>
      <c r="K335" s="1170"/>
    </row>
    <row r="336" spans="1:11">
      <c r="A336" s="1130">
        <v>11</v>
      </c>
      <c r="B336" s="1184" t="s">
        <v>27</v>
      </c>
      <c r="C336" s="1181" t="s">
        <v>1479</v>
      </c>
      <c r="D336" s="1181"/>
      <c r="E336" s="1182">
        <v>2000</v>
      </c>
      <c r="F336" s="1183" t="s">
        <v>1713</v>
      </c>
      <c r="G336" s="766"/>
      <c r="I336" s="1160">
        <v>24.45</v>
      </c>
      <c r="J336" s="747" t="str">
        <f t="shared" si="6"/>
        <v>КМС</v>
      </c>
      <c r="K336" s="1160"/>
    </row>
    <row r="337" spans="1:11">
      <c r="A337" s="1130">
        <v>12</v>
      </c>
      <c r="B337" s="1184" t="s">
        <v>27</v>
      </c>
      <c r="C337" s="1181" t="s">
        <v>1478</v>
      </c>
      <c r="D337" s="1181"/>
      <c r="E337" s="1182">
        <v>2001</v>
      </c>
      <c r="F337" s="1183" t="s">
        <v>1713</v>
      </c>
      <c r="G337" s="766"/>
      <c r="I337" s="1160">
        <v>24.47</v>
      </c>
      <c r="J337" s="747" t="str">
        <f t="shared" si="6"/>
        <v>КМС</v>
      </c>
      <c r="K337" s="1137"/>
    </row>
    <row r="338" spans="1:11">
      <c r="A338" s="1130">
        <v>13</v>
      </c>
      <c r="B338" s="1207" t="s">
        <v>27</v>
      </c>
      <c r="C338" s="1205" t="s">
        <v>1403</v>
      </c>
      <c r="D338" s="1204"/>
      <c r="E338" s="1206">
        <v>1998</v>
      </c>
      <c r="F338" s="1205" t="s">
        <v>1695</v>
      </c>
      <c r="G338" s="766"/>
      <c r="I338" s="1160">
        <v>24.6</v>
      </c>
      <c r="J338" s="747" t="str">
        <f t="shared" si="6"/>
        <v>КМС</v>
      </c>
      <c r="K338" s="1160"/>
    </row>
    <row r="339" spans="1:11">
      <c r="A339" s="1130">
        <v>14</v>
      </c>
      <c r="B339" s="1207" t="s">
        <v>29</v>
      </c>
      <c r="C339" s="1205" t="s">
        <v>1414</v>
      </c>
      <c r="D339" s="1204"/>
      <c r="E339" s="1206">
        <v>2001</v>
      </c>
      <c r="F339" s="1312" t="s">
        <v>1699</v>
      </c>
      <c r="G339" s="766"/>
      <c r="I339" s="1160">
        <v>24.63</v>
      </c>
      <c r="J339" s="747" t="str">
        <f t="shared" si="6"/>
        <v>I</v>
      </c>
      <c r="K339" s="1160"/>
    </row>
    <row r="340" spans="1:11">
      <c r="A340" s="1130">
        <v>15</v>
      </c>
      <c r="B340" s="1207" t="s">
        <v>27</v>
      </c>
      <c r="C340" s="1205" t="s">
        <v>1735</v>
      </c>
      <c r="D340" s="1204"/>
      <c r="E340" s="1206">
        <v>2001</v>
      </c>
      <c r="F340" s="1312" t="s">
        <v>1711</v>
      </c>
      <c r="G340" s="766"/>
      <c r="I340" s="1160">
        <v>24.92</v>
      </c>
      <c r="J340" s="747" t="str">
        <f t="shared" si="6"/>
        <v>I</v>
      </c>
      <c r="K340" s="1160"/>
    </row>
    <row r="341" spans="1:11">
      <c r="A341" s="1130">
        <v>16</v>
      </c>
      <c r="B341" s="1207" t="s">
        <v>1</v>
      </c>
      <c r="C341" s="1205" t="s">
        <v>1364</v>
      </c>
      <c r="D341" s="1204"/>
      <c r="E341" s="1206">
        <v>2000</v>
      </c>
      <c r="F341" s="1312" t="s">
        <v>1699</v>
      </c>
      <c r="G341" s="766"/>
      <c r="I341" s="1160">
        <v>25.59</v>
      </c>
      <c r="J341" s="747" t="str">
        <f t="shared" si="6"/>
        <v>I</v>
      </c>
      <c r="K341" s="1186"/>
    </row>
    <row r="342" spans="1:11">
      <c r="A342" s="1130">
        <v>17</v>
      </c>
      <c r="B342" s="1207" t="s">
        <v>29</v>
      </c>
      <c r="C342" s="1205" t="s">
        <v>1441</v>
      </c>
      <c r="D342" s="1204"/>
      <c r="E342" s="1206">
        <v>2003</v>
      </c>
      <c r="F342" s="1312" t="s">
        <v>1699</v>
      </c>
      <c r="G342" s="766"/>
      <c r="I342" s="1160">
        <v>25.84</v>
      </c>
      <c r="J342" s="747" t="str">
        <f t="shared" si="6"/>
        <v>I</v>
      </c>
      <c r="K342" s="1203"/>
    </row>
    <row r="343" spans="1:11">
      <c r="A343" s="1130">
        <v>18</v>
      </c>
      <c r="B343" s="1207" t="s">
        <v>29</v>
      </c>
      <c r="C343" s="1205" t="s">
        <v>1539</v>
      </c>
      <c r="D343" s="1204"/>
      <c r="E343" s="1206">
        <v>2003</v>
      </c>
      <c r="F343" s="1312" t="s">
        <v>1699</v>
      </c>
      <c r="G343" s="766"/>
      <c r="I343" s="1160">
        <v>26.01</v>
      </c>
      <c r="J343" s="747" t="str">
        <f t="shared" si="6"/>
        <v>I</v>
      </c>
      <c r="K343" s="1203"/>
    </row>
    <row r="344" spans="1:11">
      <c r="A344" s="1130">
        <v>19</v>
      </c>
      <c r="B344" s="1207" t="s">
        <v>1</v>
      </c>
      <c r="C344" s="1167" t="s">
        <v>1480</v>
      </c>
      <c r="D344" s="1155"/>
      <c r="E344" s="1194">
        <v>2002</v>
      </c>
      <c r="F344" s="1313" t="s">
        <v>1707</v>
      </c>
      <c r="G344" s="766"/>
      <c r="I344" s="1163">
        <v>26.09</v>
      </c>
      <c r="J344" s="747" t="str">
        <f t="shared" si="6"/>
        <v>I</v>
      </c>
      <c r="K344" s="765"/>
    </row>
    <row r="345" spans="1:11">
      <c r="A345" s="1130">
        <v>20</v>
      </c>
      <c r="B345" s="1207" t="s">
        <v>1</v>
      </c>
      <c r="C345" s="1167" t="s">
        <v>1482</v>
      </c>
      <c r="D345" s="1155"/>
      <c r="E345" s="1194">
        <v>2003</v>
      </c>
      <c r="F345" s="1313" t="s">
        <v>1707</v>
      </c>
      <c r="G345" s="766"/>
      <c r="I345" s="1163">
        <v>26.21</v>
      </c>
      <c r="J345" s="747" t="str">
        <f t="shared" si="6"/>
        <v>I</v>
      </c>
      <c r="K345" s="1320"/>
    </row>
    <row r="346" spans="1:11">
      <c r="A346" s="1130">
        <v>21</v>
      </c>
      <c r="B346" s="1207" t="s">
        <v>1</v>
      </c>
      <c r="C346" s="1205" t="s">
        <v>1432</v>
      </c>
      <c r="D346" s="1204"/>
      <c r="E346" s="1206">
        <v>2003</v>
      </c>
      <c r="F346" s="1205" t="s">
        <v>1695</v>
      </c>
      <c r="G346" s="766"/>
      <c r="I346" s="1160">
        <v>26.3</v>
      </c>
      <c r="J346" s="747" t="str">
        <f t="shared" si="6"/>
        <v>I</v>
      </c>
      <c r="K346" s="1164"/>
    </row>
    <row r="347" spans="1:11">
      <c r="A347" s="1130">
        <v>22</v>
      </c>
      <c r="B347" s="1207" t="s">
        <v>1</v>
      </c>
      <c r="C347" s="1205" t="s">
        <v>1540</v>
      </c>
      <c r="D347" s="1204"/>
      <c r="E347" s="1206">
        <v>2002</v>
      </c>
      <c r="F347" s="1312" t="s">
        <v>1699</v>
      </c>
      <c r="G347" s="766"/>
      <c r="I347" s="1160">
        <v>26.77</v>
      </c>
      <c r="J347" s="747" t="str">
        <f t="shared" si="6"/>
        <v>II</v>
      </c>
      <c r="K347" s="1170"/>
    </row>
    <row r="348" spans="1:11">
      <c r="A348" s="1130">
        <v>23</v>
      </c>
      <c r="B348" s="1207" t="s">
        <v>15</v>
      </c>
      <c r="C348" s="1205" t="s">
        <v>1545</v>
      </c>
      <c r="D348" s="1204"/>
      <c r="E348" s="1206">
        <v>2001</v>
      </c>
      <c r="F348" s="1310" t="s">
        <v>1722</v>
      </c>
      <c r="G348" s="766"/>
      <c r="I348" s="1160">
        <v>27.86</v>
      </c>
      <c r="J348" s="747" t="str">
        <f t="shared" si="6"/>
        <v>II</v>
      </c>
      <c r="K348" s="1160"/>
    </row>
    <row r="349" spans="1:11">
      <c r="A349" s="1130">
        <v>24</v>
      </c>
      <c r="B349" s="1207" t="s">
        <v>15</v>
      </c>
      <c r="C349" s="1205" t="s">
        <v>1546</v>
      </c>
      <c r="D349" s="1204"/>
      <c r="E349" s="1206">
        <v>2001</v>
      </c>
      <c r="F349" s="1312" t="s">
        <v>1722</v>
      </c>
      <c r="G349" s="766"/>
      <c r="I349" s="1160">
        <v>29.01</v>
      </c>
      <c r="J349" s="747" t="str">
        <f t="shared" si="6"/>
        <v>III</v>
      </c>
      <c r="K349" s="1196"/>
    </row>
    <row r="350" spans="1:11">
      <c r="A350" s="1130"/>
      <c r="B350" s="1207"/>
      <c r="C350" s="1205"/>
      <c r="D350" s="1204"/>
      <c r="E350" s="1206"/>
      <c r="F350" s="1310"/>
      <c r="G350" s="766"/>
      <c r="I350" s="1160"/>
      <c r="K350" s="1203"/>
    </row>
    <row r="351" spans="1:11">
      <c r="A351" s="57"/>
      <c r="B351" s="535"/>
      <c r="C351" s="524" t="s">
        <v>1816</v>
      </c>
      <c r="D351" s="542"/>
      <c r="E351" s="542"/>
      <c r="F351" s="542"/>
      <c r="G351" s="542"/>
      <c r="I351" s="1164"/>
      <c r="K351" s="1196"/>
    </row>
    <row r="352" spans="1:11">
      <c r="A352" s="57"/>
      <c r="B352" s="535"/>
      <c r="C352" s="100"/>
      <c r="D352" s="1185"/>
      <c r="E352" s="534"/>
      <c r="F352" s="15"/>
      <c r="G352" s="536"/>
      <c r="I352" s="1164"/>
      <c r="K352" s="1137"/>
    </row>
    <row r="353" spans="1:11">
      <c r="A353" s="1130">
        <v>1</v>
      </c>
      <c r="B353" s="1207" t="s">
        <v>27</v>
      </c>
      <c r="C353" s="1167" t="s">
        <v>1508</v>
      </c>
      <c r="D353" s="1155"/>
      <c r="E353" s="1194">
        <v>2003</v>
      </c>
      <c r="F353" s="1313" t="s">
        <v>1707</v>
      </c>
      <c r="G353" s="767"/>
      <c r="I353" s="1163">
        <v>20.46</v>
      </c>
      <c r="J353" s="747" t="s">
        <v>29</v>
      </c>
      <c r="K353" s="765"/>
    </row>
    <row r="354" spans="1:11">
      <c r="A354" s="1130">
        <v>2</v>
      </c>
      <c r="B354" s="1207" t="s">
        <v>29</v>
      </c>
      <c r="C354" s="1205" t="s">
        <v>1496</v>
      </c>
      <c r="D354" s="1204"/>
      <c r="E354" s="1206">
        <v>2001</v>
      </c>
      <c r="F354" s="1205" t="s">
        <v>1695</v>
      </c>
      <c r="G354" s="767"/>
      <c r="I354" s="1160">
        <v>20.67</v>
      </c>
      <c r="J354" s="747" t="str">
        <f t="shared" ref="J354:J374" si="7">IF(ISBLANK(I354)," ",IF(ISTEXT(I354)," ",IF(I354&lt;=19.4,"МСМК",IF(I354&lt;=20.5,"МС",IF(I354&lt;=21.3,"КМС",IF(I354&lt;=23,"I",IF(I354&lt;=24.8,"II",IF(I354&lt;=26.5,"III",IF(I354&lt;=29.8,"I юн",IF(I354&lt;=32.4,"II юн",IF(I354&lt;=35.5,"III юн","б/р")))))))))))</f>
        <v>КМС</v>
      </c>
      <c r="K354" s="1196"/>
    </row>
    <row r="355" spans="1:11">
      <c r="A355" s="1130">
        <v>3</v>
      </c>
      <c r="B355" s="1202" t="s">
        <v>29</v>
      </c>
      <c r="C355" s="1205" t="s">
        <v>1503</v>
      </c>
      <c r="D355" s="1204"/>
      <c r="E355" s="1206">
        <v>2002</v>
      </c>
      <c r="F355" s="17" t="s">
        <v>1723</v>
      </c>
      <c r="G355" s="767"/>
      <c r="I355" s="1160">
        <v>20.8</v>
      </c>
      <c r="J355" s="747" t="str">
        <f t="shared" si="7"/>
        <v>КМС</v>
      </c>
      <c r="K355" s="1160"/>
    </row>
    <row r="356" spans="1:11">
      <c r="A356" s="1130">
        <v>4</v>
      </c>
      <c r="B356" s="1207" t="s">
        <v>29</v>
      </c>
      <c r="C356" s="1205" t="s">
        <v>1385</v>
      </c>
      <c r="D356" s="1204"/>
      <c r="E356" s="1206">
        <v>2003</v>
      </c>
      <c r="F356" s="1205" t="s">
        <v>1827</v>
      </c>
      <c r="G356" s="767"/>
      <c r="I356" s="1160">
        <v>20.91</v>
      </c>
      <c r="J356" s="747" t="str">
        <f t="shared" si="7"/>
        <v>КМС</v>
      </c>
      <c r="K356" s="765"/>
    </row>
    <row r="357" spans="1:11">
      <c r="A357" s="1130">
        <v>5</v>
      </c>
      <c r="B357" s="1158" t="s">
        <v>29</v>
      </c>
      <c r="C357" s="1154" t="s">
        <v>1510</v>
      </c>
      <c r="D357" s="1204"/>
      <c r="E357" s="1188">
        <v>2003</v>
      </c>
      <c r="F357" s="1205" t="s">
        <v>1719</v>
      </c>
      <c r="G357" s="767"/>
      <c r="I357" s="1162">
        <v>21.06</v>
      </c>
      <c r="J357" s="747" t="str">
        <f t="shared" si="7"/>
        <v>КМС</v>
      </c>
      <c r="K357" s="1196"/>
    </row>
    <row r="358" spans="1:11">
      <c r="A358" s="1130">
        <v>6</v>
      </c>
      <c r="B358" s="1207" t="s">
        <v>27</v>
      </c>
      <c r="C358" s="1205" t="s">
        <v>1532</v>
      </c>
      <c r="D358" s="1204"/>
      <c r="E358" s="1206">
        <v>1999</v>
      </c>
      <c r="F358" s="1205" t="s">
        <v>1695</v>
      </c>
      <c r="G358" s="767"/>
      <c r="I358" s="1160">
        <v>21.25</v>
      </c>
      <c r="J358" s="747" t="str">
        <f t="shared" si="7"/>
        <v>КМС</v>
      </c>
      <c r="K358" s="1133"/>
    </row>
    <row r="359" spans="1:11">
      <c r="A359" s="1130">
        <v>7</v>
      </c>
      <c r="B359" s="1207" t="s">
        <v>27</v>
      </c>
      <c r="C359" s="1205" t="s">
        <v>1501</v>
      </c>
      <c r="D359" s="1204"/>
      <c r="E359" s="1206">
        <v>1998</v>
      </c>
      <c r="F359" s="1205" t="s">
        <v>1695</v>
      </c>
      <c r="G359" s="767"/>
      <c r="I359" s="1160">
        <v>21.37</v>
      </c>
      <c r="J359" s="747" t="str">
        <f t="shared" si="7"/>
        <v>I</v>
      </c>
      <c r="K359" s="765"/>
    </row>
    <row r="360" spans="1:11">
      <c r="A360" s="1130">
        <v>8</v>
      </c>
      <c r="B360" s="1207" t="s">
        <v>29</v>
      </c>
      <c r="C360" s="1205" t="s">
        <v>1389</v>
      </c>
      <c r="D360" s="1204"/>
      <c r="E360" s="1206">
        <v>2001</v>
      </c>
      <c r="F360" s="1205" t="s">
        <v>1695</v>
      </c>
      <c r="G360" s="767"/>
      <c r="I360" s="1160">
        <v>21.59</v>
      </c>
      <c r="J360" s="747" t="str">
        <f t="shared" si="7"/>
        <v>I</v>
      </c>
      <c r="K360" s="765"/>
    </row>
    <row r="361" spans="1:11">
      <c r="A361" s="1130">
        <v>9</v>
      </c>
      <c r="B361" s="1207" t="s">
        <v>1</v>
      </c>
      <c r="C361" s="1205" t="s">
        <v>1383</v>
      </c>
      <c r="D361" s="1204"/>
      <c r="E361" s="1206">
        <v>2003</v>
      </c>
      <c r="F361" s="27" t="s">
        <v>1720</v>
      </c>
      <c r="G361" s="767"/>
      <c r="I361" s="1160">
        <v>21.62</v>
      </c>
      <c r="J361" s="747" t="str">
        <f t="shared" si="7"/>
        <v>I</v>
      </c>
      <c r="K361" s="765"/>
    </row>
    <row r="362" spans="1:11">
      <c r="A362" s="1130">
        <v>10</v>
      </c>
      <c r="B362" s="1207" t="s">
        <v>27</v>
      </c>
      <c r="C362" s="1205" t="s">
        <v>1417</v>
      </c>
      <c r="D362" s="1204"/>
      <c r="E362" s="1206">
        <v>2003</v>
      </c>
      <c r="F362" s="1312" t="s">
        <v>1699</v>
      </c>
      <c r="G362" s="767"/>
      <c r="I362" s="1160">
        <v>21.81</v>
      </c>
      <c r="J362" s="747" t="str">
        <f t="shared" si="7"/>
        <v>I</v>
      </c>
      <c r="K362" s="1160"/>
    </row>
    <row r="363" spans="1:11">
      <c r="A363" s="1130">
        <v>11</v>
      </c>
      <c r="B363" s="1207" t="s">
        <v>1</v>
      </c>
      <c r="C363" s="1205" t="s">
        <v>1497</v>
      </c>
      <c r="D363" s="1204"/>
      <c r="E363" s="1206">
        <v>2002</v>
      </c>
      <c r="F363" s="1205" t="s">
        <v>1695</v>
      </c>
      <c r="G363" s="767"/>
      <c r="I363" s="1160">
        <v>22.13</v>
      </c>
      <c r="J363" s="747" t="str">
        <f t="shared" si="7"/>
        <v>I</v>
      </c>
      <c r="K363" s="765"/>
    </row>
    <row r="364" spans="1:11">
      <c r="A364" s="1130">
        <v>12</v>
      </c>
      <c r="B364" s="1207" t="s">
        <v>27</v>
      </c>
      <c r="C364" s="1205" t="s">
        <v>1388</v>
      </c>
      <c r="D364" s="1204"/>
      <c r="E364" s="1206">
        <v>2002</v>
      </c>
      <c r="F364" s="1205" t="s">
        <v>1695</v>
      </c>
      <c r="G364" s="767"/>
      <c r="I364" s="1160">
        <v>22.13</v>
      </c>
      <c r="J364" s="747" t="str">
        <f t="shared" si="7"/>
        <v>I</v>
      </c>
      <c r="K364" s="1210"/>
    </row>
    <row r="365" spans="1:11">
      <c r="A365" s="1130">
        <v>13</v>
      </c>
      <c r="B365" s="1207" t="s">
        <v>13</v>
      </c>
      <c r="C365" s="1205" t="s">
        <v>1420</v>
      </c>
      <c r="D365" s="1204"/>
      <c r="E365" s="1206">
        <v>2002</v>
      </c>
      <c r="F365" s="1312" t="s">
        <v>1699</v>
      </c>
      <c r="G365" s="767"/>
      <c r="I365" s="1160">
        <v>22.39</v>
      </c>
      <c r="J365" s="747" t="str">
        <f t="shared" si="7"/>
        <v>I</v>
      </c>
      <c r="K365" s="1196"/>
    </row>
    <row r="366" spans="1:11">
      <c r="A366" s="1130">
        <v>14</v>
      </c>
      <c r="B366" s="1207" t="s">
        <v>29</v>
      </c>
      <c r="C366" s="1205" t="s">
        <v>1390</v>
      </c>
      <c r="D366" s="1204"/>
      <c r="E366" s="1206">
        <v>2003</v>
      </c>
      <c r="F366" s="1312" t="s">
        <v>1699</v>
      </c>
      <c r="G366" s="767"/>
      <c r="I366" s="1162">
        <v>22.42</v>
      </c>
      <c r="J366" s="747" t="str">
        <f t="shared" si="7"/>
        <v>I</v>
      </c>
      <c r="K366" s="765"/>
    </row>
    <row r="367" spans="1:11">
      <c r="A367" s="1130">
        <v>15</v>
      </c>
      <c r="B367" s="1207" t="s">
        <v>29</v>
      </c>
      <c r="C367" s="1205" t="s">
        <v>1391</v>
      </c>
      <c r="D367" s="1204"/>
      <c r="E367" s="1206">
        <v>2003</v>
      </c>
      <c r="F367" s="1312" t="s">
        <v>1699</v>
      </c>
      <c r="G367" s="767"/>
      <c r="I367" s="1160">
        <v>22.43</v>
      </c>
      <c r="J367" s="747" t="str">
        <f t="shared" si="7"/>
        <v>I</v>
      </c>
      <c r="K367" s="765"/>
    </row>
    <row r="368" spans="1:11">
      <c r="A368" s="1130">
        <v>16</v>
      </c>
      <c r="B368" s="1177" t="s">
        <v>15</v>
      </c>
      <c r="C368" s="1205" t="s">
        <v>1505</v>
      </c>
      <c r="D368" s="1204"/>
      <c r="E368" s="1206">
        <v>2000</v>
      </c>
      <c r="F368" s="1312" t="s">
        <v>1709</v>
      </c>
      <c r="G368" s="767"/>
      <c r="I368" s="1160">
        <v>22.69</v>
      </c>
      <c r="J368" s="747" t="str">
        <f t="shared" si="7"/>
        <v>I</v>
      </c>
      <c r="K368" s="765"/>
    </row>
    <row r="369" spans="1:11">
      <c r="A369" s="1130">
        <v>17</v>
      </c>
      <c r="B369" s="1207" t="s">
        <v>29</v>
      </c>
      <c r="C369" s="1205" t="s">
        <v>1504</v>
      </c>
      <c r="D369" s="1204"/>
      <c r="E369" s="1206">
        <v>1997</v>
      </c>
      <c r="F369" s="17" t="s">
        <v>1723</v>
      </c>
      <c r="G369" s="767"/>
      <c r="I369" s="1160">
        <v>22.73</v>
      </c>
      <c r="J369" s="747" t="str">
        <f t="shared" si="7"/>
        <v>I</v>
      </c>
      <c r="K369" s="765"/>
    </row>
    <row r="370" spans="1:11">
      <c r="A370" s="1130">
        <v>18</v>
      </c>
      <c r="B370" s="1207" t="s">
        <v>1</v>
      </c>
      <c r="C370" s="1205" t="s">
        <v>1498</v>
      </c>
      <c r="D370" s="1204"/>
      <c r="E370" s="1206">
        <v>2003</v>
      </c>
      <c r="F370" s="1205" t="s">
        <v>1695</v>
      </c>
      <c r="G370" s="767"/>
      <c r="I370" s="1160">
        <v>22.77</v>
      </c>
      <c r="J370" s="747" t="str">
        <f t="shared" si="7"/>
        <v>I</v>
      </c>
      <c r="K370" s="1203"/>
    </row>
    <row r="371" spans="1:11">
      <c r="A371" s="1130">
        <v>19</v>
      </c>
      <c r="B371" s="1207" t="s">
        <v>29</v>
      </c>
      <c r="C371" s="1205" t="s">
        <v>1543</v>
      </c>
      <c r="D371" s="1204"/>
      <c r="E371" s="1206">
        <v>1999</v>
      </c>
      <c r="F371" s="1312" t="s">
        <v>1722</v>
      </c>
      <c r="G371" s="1192"/>
      <c r="I371" s="1160">
        <v>22.89</v>
      </c>
      <c r="J371" s="747" t="str">
        <f t="shared" si="7"/>
        <v>I</v>
      </c>
      <c r="K371" s="1203"/>
    </row>
    <row r="372" spans="1:11">
      <c r="A372" s="1130">
        <v>20</v>
      </c>
      <c r="B372" s="1207" t="s">
        <v>1</v>
      </c>
      <c r="C372" s="1205" t="s">
        <v>1500</v>
      </c>
      <c r="D372" s="1204"/>
      <c r="E372" s="1206">
        <v>2003</v>
      </c>
      <c r="F372" s="1205" t="s">
        <v>1695</v>
      </c>
      <c r="G372" s="767"/>
      <c r="I372" s="1160">
        <v>22.95</v>
      </c>
      <c r="J372" s="747" t="str">
        <f t="shared" si="7"/>
        <v>I</v>
      </c>
      <c r="K372" s="1137"/>
    </row>
    <row r="373" spans="1:11">
      <c r="A373" s="1130">
        <v>21</v>
      </c>
      <c r="B373" s="1207" t="s">
        <v>13</v>
      </c>
      <c r="C373" s="1205" t="s">
        <v>1499</v>
      </c>
      <c r="D373" s="1204"/>
      <c r="E373" s="1206">
        <v>2003</v>
      </c>
      <c r="F373" s="1205" t="s">
        <v>1695</v>
      </c>
      <c r="G373" s="767"/>
      <c r="I373" s="1160">
        <v>24.17</v>
      </c>
      <c r="J373" s="747" t="str">
        <f t="shared" si="7"/>
        <v>II</v>
      </c>
      <c r="K373" s="1196"/>
    </row>
    <row r="374" spans="1:11">
      <c r="A374" s="1130">
        <v>22</v>
      </c>
      <c r="B374" s="1207" t="s">
        <v>29</v>
      </c>
      <c r="C374" s="1205" t="s">
        <v>1377</v>
      </c>
      <c r="D374" s="1204"/>
      <c r="E374" s="1206">
        <v>2002</v>
      </c>
      <c r="F374" s="1205" t="s">
        <v>1695</v>
      </c>
      <c r="G374" s="767"/>
      <c r="I374" s="1160">
        <v>24.24</v>
      </c>
      <c r="J374" s="747" t="str">
        <f t="shared" si="7"/>
        <v>II</v>
      </c>
      <c r="K374" s="1196"/>
    </row>
    <row r="375" spans="1:11">
      <c r="A375" s="1130"/>
      <c r="B375" s="1207" t="s">
        <v>13</v>
      </c>
      <c r="C375" s="1167" t="s">
        <v>1533</v>
      </c>
      <c r="D375" s="1155"/>
      <c r="E375" s="1194">
        <v>2001</v>
      </c>
      <c r="F375" s="1313" t="s">
        <v>1707</v>
      </c>
      <c r="G375" s="767"/>
      <c r="I375" s="1160" t="s">
        <v>1621</v>
      </c>
      <c r="K375" s="1196"/>
    </row>
    <row r="376" spans="1:11">
      <c r="B376" s="1168" t="s">
        <v>29</v>
      </c>
      <c r="C376" s="1205" t="s">
        <v>1507</v>
      </c>
      <c r="D376" s="1204"/>
      <c r="E376" s="1206">
        <v>2003</v>
      </c>
      <c r="F376" s="1312" t="s">
        <v>1699</v>
      </c>
      <c r="G376" s="767"/>
      <c r="I376" s="1160" t="s">
        <v>1622</v>
      </c>
      <c r="K376" s="1196"/>
    </row>
    <row r="378" spans="1:11">
      <c r="A378" s="1130"/>
      <c r="B378" s="1210"/>
      <c r="C378" s="524" t="s">
        <v>1817</v>
      </c>
      <c r="D378" s="525"/>
      <c r="E378" s="526"/>
      <c r="F378" s="524"/>
      <c r="G378" s="524"/>
      <c r="I378" s="1196"/>
      <c r="K378" s="1196"/>
    </row>
    <row r="379" spans="1:11">
      <c r="A379" s="1130"/>
      <c r="B379" s="1207"/>
      <c r="C379" s="1205"/>
      <c r="D379" s="1204"/>
      <c r="E379" s="1206"/>
      <c r="F379" s="1310"/>
      <c r="G379" s="1310"/>
      <c r="I379" s="1160"/>
      <c r="K379" s="1196"/>
    </row>
    <row r="380" spans="1:11">
      <c r="A380" s="1130">
        <v>1</v>
      </c>
      <c r="B380" s="1207" t="s">
        <v>23</v>
      </c>
      <c r="C380" s="1167" t="s">
        <v>1736</v>
      </c>
      <c r="D380" s="1155"/>
      <c r="E380" s="1194">
        <v>1999</v>
      </c>
      <c r="F380" s="1313" t="s">
        <v>1707</v>
      </c>
      <c r="G380" s="766"/>
      <c r="I380" s="1163">
        <v>37.97</v>
      </c>
      <c r="J380" s="747" t="s">
        <v>29</v>
      </c>
      <c r="K380" s="1196"/>
    </row>
    <row r="381" spans="1:11">
      <c r="A381" s="1130">
        <v>2</v>
      </c>
      <c r="B381" s="1207" t="s">
        <v>23</v>
      </c>
      <c r="C381" s="1205" t="s">
        <v>552</v>
      </c>
      <c r="D381" s="1204"/>
      <c r="E381" s="1206">
        <v>1993</v>
      </c>
      <c r="F381" s="1310" t="s">
        <v>1439</v>
      </c>
      <c r="G381" s="766"/>
      <c r="I381" s="1159">
        <v>38.68</v>
      </c>
      <c r="J381" s="747" t="str">
        <f t="shared" ref="J381:J388" si="8">IF(ISBLANK(I381)," ",IF(ISTEXT(I381)," ",IF(I381&lt;=36.3,"МСМК",IF(I381&lt;=38.1,"МС",IF(I381&lt;=39.7,"КМС",IF(I381&lt;=42.6,"I",IF(I381&lt;=46.2,"II",IF(I381&lt;=50.2,"III",IF(I381&lt;=55,"I юн",IF(I381&lt;=100,"II юн",IF(I381&lt;=105.2,"III юн","б/р")))))))))))</f>
        <v>КМС</v>
      </c>
      <c r="K381" s="1196"/>
    </row>
    <row r="382" spans="1:11">
      <c r="A382" s="1130">
        <v>3</v>
      </c>
      <c r="B382" s="1207" t="s">
        <v>25</v>
      </c>
      <c r="C382" s="1167" t="s">
        <v>1534</v>
      </c>
      <c r="D382" s="1155"/>
      <c r="E382" s="1194">
        <v>2003</v>
      </c>
      <c r="F382" s="1313" t="s">
        <v>1707</v>
      </c>
      <c r="G382" s="766"/>
      <c r="I382" s="1163">
        <v>39.4</v>
      </c>
      <c r="J382" s="747" t="str">
        <f t="shared" si="8"/>
        <v>КМС</v>
      </c>
      <c r="K382" s="1196"/>
    </row>
    <row r="383" spans="1:11">
      <c r="A383" s="1130">
        <v>4</v>
      </c>
      <c r="B383" s="1207" t="s">
        <v>27</v>
      </c>
      <c r="C383" s="1205" t="s">
        <v>1535</v>
      </c>
      <c r="D383" s="1204"/>
      <c r="E383" s="1206">
        <v>2002</v>
      </c>
      <c r="F383" s="1312" t="s">
        <v>1725</v>
      </c>
      <c r="G383" s="766"/>
      <c r="I383" s="1159">
        <v>39.840000000000003</v>
      </c>
      <c r="J383" s="747" t="str">
        <f t="shared" si="8"/>
        <v>I</v>
      </c>
      <c r="K383" s="1196"/>
    </row>
    <row r="384" spans="1:11">
      <c r="A384" s="1130">
        <v>5</v>
      </c>
      <c r="B384" s="1168" t="s">
        <v>27</v>
      </c>
      <c r="C384" s="1205" t="s">
        <v>666</v>
      </c>
      <c r="D384" s="1204"/>
      <c r="E384" s="1206">
        <v>2003</v>
      </c>
      <c r="F384" s="1312" t="s">
        <v>1699</v>
      </c>
      <c r="G384" s="766"/>
      <c r="I384" s="1159">
        <v>41.11</v>
      </c>
      <c r="J384" s="747" t="str">
        <f t="shared" si="8"/>
        <v>I</v>
      </c>
      <c r="K384" s="1196"/>
    </row>
    <row r="385" spans="1:11">
      <c r="A385" s="1130">
        <v>6</v>
      </c>
      <c r="B385" s="1207" t="s">
        <v>27</v>
      </c>
      <c r="C385" s="1205" t="s">
        <v>1413</v>
      </c>
      <c r="D385" s="1204"/>
      <c r="E385" s="1206">
        <v>1998</v>
      </c>
      <c r="F385" s="1312" t="s">
        <v>1691</v>
      </c>
      <c r="G385" s="766"/>
      <c r="I385" s="1159">
        <v>41.34</v>
      </c>
      <c r="J385" s="747" t="str">
        <f t="shared" si="8"/>
        <v>I</v>
      </c>
      <c r="K385" s="1196"/>
    </row>
    <row r="386" spans="1:11">
      <c r="A386" s="1130">
        <v>7</v>
      </c>
      <c r="B386" s="1207" t="s">
        <v>27</v>
      </c>
      <c r="C386" s="1205" t="s">
        <v>567</v>
      </c>
      <c r="D386" s="1204"/>
      <c r="E386" s="1206">
        <v>1999</v>
      </c>
      <c r="F386" s="1205" t="s">
        <v>1695</v>
      </c>
      <c r="G386" s="766"/>
      <c r="I386" s="1159">
        <v>42.16</v>
      </c>
      <c r="J386" s="747" t="str">
        <f t="shared" si="8"/>
        <v>I</v>
      </c>
      <c r="K386" s="1196"/>
    </row>
    <row r="387" spans="1:11">
      <c r="A387" s="1130">
        <v>8</v>
      </c>
      <c r="B387" s="1207" t="s">
        <v>29</v>
      </c>
      <c r="C387" s="1205" t="s">
        <v>1434</v>
      </c>
      <c r="D387" s="1204"/>
      <c r="E387" s="1206">
        <v>2003</v>
      </c>
      <c r="F387" s="1312" t="s">
        <v>1699</v>
      </c>
      <c r="G387" s="766"/>
      <c r="I387" s="1159">
        <v>42.84</v>
      </c>
      <c r="J387" s="747" t="str">
        <f t="shared" si="8"/>
        <v>II</v>
      </c>
      <c r="K387" s="1196"/>
    </row>
    <row r="388" spans="1:11">
      <c r="A388" s="1130">
        <v>9</v>
      </c>
      <c r="B388" s="1207" t="s">
        <v>27</v>
      </c>
      <c r="C388" s="1205" t="s">
        <v>595</v>
      </c>
      <c r="D388" s="1204"/>
      <c r="E388" s="1206">
        <v>2000</v>
      </c>
      <c r="F388" s="1205" t="s">
        <v>1695</v>
      </c>
      <c r="G388" s="766"/>
      <c r="I388" s="1159">
        <v>43.18</v>
      </c>
      <c r="J388" s="747" t="str">
        <f t="shared" si="8"/>
        <v>II</v>
      </c>
      <c r="K388" s="1196"/>
    </row>
    <row r="390" spans="1:11">
      <c r="A390" s="1130"/>
      <c r="B390" s="1202"/>
      <c r="C390" s="524" t="s">
        <v>1818</v>
      </c>
      <c r="D390" s="525"/>
      <c r="E390" s="526"/>
      <c r="F390" s="524"/>
      <c r="G390" s="524"/>
      <c r="I390" s="1160"/>
      <c r="K390" s="1196"/>
    </row>
    <row r="391" spans="1:11">
      <c r="A391" s="1130"/>
      <c r="B391" s="1210"/>
      <c r="C391" s="1210"/>
      <c r="D391" s="1210"/>
      <c r="E391" s="1210"/>
      <c r="F391" s="1210"/>
      <c r="G391" s="1210"/>
      <c r="I391" s="1196"/>
      <c r="K391" s="1196"/>
    </row>
    <row r="392" spans="1:11">
      <c r="A392" s="1130">
        <v>1</v>
      </c>
      <c r="B392" s="1207" t="s">
        <v>27</v>
      </c>
      <c r="C392" s="1205" t="s">
        <v>1529</v>
      </c>
      <c r="D392" s="1204"/>
      <c r="E392" s="1206">
        <v>2003</v>
      </c>
      <c r="F392" s="1312" t="s">
        <v>1725</v>
      </c>
      <c r="G392" s="766"/>
      <c r="I392" s="1159">
        <v>36.299999999999997</v>
      </c>
      <c r="J392" s="747" t="str">
        <f>IF(ISBLANK(I392)," ",IF(ISTEXT(I392)," ",IF(I392&lt;=33.1,"МСМК",IF(I392&lt;=34.7,"МС",IF(I392&lt;=36.2,"КМС",IF(I392&lt;=38.8,"I",IF(I392&lt;=42.1,"II",IF(I392&lt;=45.8,"III",IF(I392&lt;=50.2,"I юн",IF(I392&lt;=54.8,"II юн",IF(I392&lt;=59.4,"III юн","б/р")))))))))))</f>
        <v>I</v>
      </c>
      <c r="K392" s="1196"/>
    </row>
    <row r="393" spans="1:11">
      <c r="A393" s="1130">
        <v>2</v>
      </c>
      <c r="B393" s="1207" t="s">
        <v>29</v>
      </c>
      <c r="C393" s="1205" t="s">
        <v>1348</v>
      </c>
      <c r="D393" s="1204"/>
      <c r="E393" s="1206">
        <v>2003</v>
      </c>
      <c r="F393" s="1205" t="s">
        <v>1695</v>
      </c>
      <c r="G393" s="766"/>
      <c r="I393" s="1159">
        <v>36.35</v>
      </c>
      <c r="J393" s="747" t="str">
        <f t="shared" ref="J393:J397" si="9">IF(ISBLANK(I393)," ",IF(ISTEXT(I393)," ",IF(I393&lt;=33.1,"МСМК",IF(I393&lt;=34.7,"МС",IF(I393&lt;=36.2,"КМС",IF(I393&lt;=38.8,"I",IF(I393&lt;=42.1,"II",IF(I393&lt;=45.8,"III",IF(I393&lt;=50.2,"I юн",IF(I393&lt;=54.8,"II юн",IF(I393&lt;=59.4,"III юн","б/р")))))))))))</f>
        <v>I</v>
      </c>
      <c r="K393" s="1196"/>
    </row>
    <row r="394" spans="1:11">
      <c r="A394" s="1130">
        <v>3</v>
      </c>
      <c r="B394" s="1207" t="s">
        <v>27</v>
      </c>
      <c r="C394" s="1167" t="s">
        <v>1461</v>
      </c>
      <c r="D394" s="1155"/>
      <c r="E394" s="1194">
        <v>2003</v>
      </c>
      <c r="F394" s="1313" t="s">
        <v>1707</v>
      </c>
      <c r="G394" s="766"/>
      <c r="I394" s="1163">
        <v>36.47</v>
      </c>
      <c r="J394" s="747" t="str">
        <f t="shared" si="9"/>
        <v>I</v>
      </c>
      <c r="K394" s="1196"/>
    </row>
    <row r="395" spans="1:11">
      <c r="A395" s="1130">
        <v>4</v>
      </c>
      <c r="B395" s="1207" t="s">
        <v>29</v>
      </c>
      <c r="C395" s="1205" t="s">
        <v>1416</v>
      </c>
      <c r="D395" s="1204"/>
      <c r="E395" s="1206">
        <v>2003</v>
      </c>
      <c r="F395" s="1205" t="s">
        <v>1695</v>
      </c>
      <c r="G395" s="766"/>
      <c r="I395" s="1159">
        <v>37.61</v>
      </c>
      <c r="J395" s="747" t="str">
        <f t="shared" si="9"/>
        <v>I</v>
      </c>
      <c r="K395" s="1196"/>
    </row>
    <row r="396" spans="1:11">
      <c r="A396" s="1130">
        <v>5</v>
      </c>
      <c r="B396" s="1207" t="s">
        <v>27</v>
      </c>
      <c r="C396" s="1167" t="s">
        <v>1460</v>
      </c>
      <c r="D396" s="1155"/>
      <c r="E396" s="1194">
        <v>2003</v>
      </c>
      <c r="F396" s="1313" t="s">
        <v>1707</v>
      </c>
      <c r="G396" s="766"/>
      <c r="I396" s="1163">
        <v>38.81</v>
      </c>
      <c r="J396" s="747" t="str">
        <f t="shared" si="9"/>
        <v>II</v>
      </c>
      <c r="K396" s="1196"/>
    </row>
    <row r="397" spans="1:11">
      <c r="A397" s="1130">
        <v>6</v>
      </c>
      <c r="B397" s="1207" t="s">
        <v>1</v>
      </c>
      <c r="C397" s="1205" t="s">
        <v>1375</v>
      </c>
      <c r="D397" s="1204"/>
      <c r="E397" s="1206">
        <v>2002</v>
      </c>
      <c r="F397" s="1312" t="s">
        <v>1699</v>
      </c>
      <c r="G397" s="766"/>
      <c r="I397" s="1159">
        <v>42.6</v>
      </c>
      <c r="J397" s="747" t="str">
        <f t="shared" si="9"/>
        <v>III</v>
      </c>
      <c r="K397" s="1196"/>
    </row>
    <row r="398" spans="1:11">
      <c r="A398" s="1130"/>
      <c r="B398" s="1202" t="s">
        <v>25</v>
      </c>
      <c r="C398" s="1205" t="s">
        <v>1462</v>
      </c>
      <c r="D398" s="1204"/>
      <c r="E398" s="1206">
        <v>2001</v>
      </c>
      <c r="F398" s="1312" t="s">
        <v>1711</v>
      </c>
      <c r="G398" s="766"/>
      <c r="I398" s="1159" t="s">
        <v>1621</v>
      </c>
      <c r="K398" s="1196"/>
    </row>
    <row r="399" spans="1:11">
      <c r="A399" s="1130"/>
      <c r="B399" s="1207"/>
      <c r="C399" s="1205"/>
      <c r="D399" s="1204"/>
      <c r="E399" s="1206"/>
      <c r="F399" s="1310"/>
      <c r="G399" s="766"/>
      <c r="I399" s="1159"/>
      <c r="K399" s="1196"/>
    </row>
    <row r="400" spans="1:11">
      <c r="A400" s="1130"/>
      <c r="B400" s="1202"/>
      <c r="C400" s="524" t="s">
        <v>1819</v>
      </c>
      <c r="D400" s="525"/>
      <c r="E400" s="526"/>
      <c r="F400" s="524"/>
      <c r="G400" s="524"/>
      <c r="I400" s="1160"/>
      <c r="K400" s="1196"/>
    </row>
    <row r="401" spans="1:11" ht="12.6" customHeight="1">
      <c r="A401" s="1130"/>
      <c r="B401" s="1207"/>
      <c r="C401" s="1157"/>
      <c r="D401" s="1204"/>
      <c r="E401" s="1129"/>
      <c r="F401" s="1310"/>
      <c r="G401" s="1310"/>
      <c r="I401" s="1160"/>
      <c r="K401" s="1196"/>
    </row>
    <row r="402" spans="1:11">
      <c r="A402" s="1130">
        <v>1</v>
      </c>
      <c r="B402" s="1207" t="s">
        <v>27</v>
      </c>
      <c r="C402" s="1205" t="s">
        <v>1541</v>
      </c>
      <c r="D402" s="1204"/>
      <c r="E402" s="1206">
        <v>2003</v>
      </c>
      <c r="F402" s="1310" t="s">
        <v>1726</v>
      </c>
      <c r="G402" s="767"/>
      <c r="I402" s="1159" t="s">
        <v>1750</v>
      </c>
      <c r="J402" s="1333" t="s">
        <v>29</v>
      </c>
      <c r="K402" s="1196"/>
    </row>
    <row r="403" spans="1:11">
      <c r="A403" s="1130">
        <v>2</v>
      </c>
      <c r="B403" s="1207" t="s">
        <v>25</v>
      </c>
      <c r="C403" s="1205" t="s">
        <v>554</v>
      </c>
      <c r="D403" s="1204"/>
      <c r="E403" s="1206">
        <v>1995</v>
      </c>
      <c r="F403" s="1312" t="s">
        <v>1691</v>
      </c>
      <c r="G403" s="766"/>
      <c r="I403" s="1160" t="s">
        <v>1748</v>
      </c>
      <c r="J403" s="1333" t="s">
        <v>1</v>
      </c>
      <c r="K403" s="1196"/>
    </row>
    <row r="404" spans="1:11">
      <c r="A404" s="1130">
        <v>3</v>
      </c>
      <c r="B404" s="1207" t="s">
        <v>25</v>
      </c>
      <c r="C404" s="1205" t="s">
        <v>1486</v>
      </c>
      <c r="D404" s="1204"/>
      <c r="E404" s="1206">
        <v>1997</v>
      </c>
      <c r="F404" s="1312" t="s">
        <v>1711</v>
      </c>
      <c r="G404" s="766"/>
      <c r="I404" s="1160" t="s">
        <v>1746</v>
      </c>
      <c r="J404" s="1333" t="s">
        <v>1</v>
      </c>
      <c r="K404" s="1196"/>
    </row>
    <row r="405" spans="1:11">
      <c r="A405" s="1130">
        <v>4</v>
      </c>
      <c r="B405" s="1168" t="s">
        <v>27</v>
      </c>
      <c r="C405" s="1205" t="s">
        <v>666</v>
      </c>
      <c r="D405" s="1204"/>
      <c r="E405" s="1206">
        <v>2003</v>
      </c>
      <c r="F405" s="1312" t="s">
        <v>1699</v>
      </c>
      <c r="G405" s="766"/>
      <c r="I405" s="1160" t="s">
        <v>1745</v>
      </c>
      <c r="J405" s="1333" t="s">
        <v>13</v>
      </c>
      <c r="K405" s="1196"/>
    </row>
    <row r="406" spans="1:11">
      <c r="A406" s="1130">
        <v>5</v>
      </c>
      <c r="B406" s="1207" t="s">
        <v>1</v>
      </c>
      <c r="C406" s="1205" t="s">
        <v>1435</v>
      </c>
      <c r="D406" s="1204"/>
      <c r="E406" s="1206">
        <v>2003</v>
      </c>
      <c r="F406" s="1312" t="s">
        <v>1699</v>
      </c>
      <c r="G406" s="766"/>
      <c r="I406" s="1160" t="s">
        <v>1749</v>
      </c>
      <c r="J406" s="1333" t="s">
        <v>13</v>
      </c>
      <c r="K406" s="765"/>
    </row>
    <row r="407" spans="1:11">
      <c r="A407" s="1130">
        <v>6</v>
      </c>
      <c r="B407" s="1207" t="s">
        <v>1</v>
      </c>
      <c r="C407" s="1167" t="s">
        <v>1436</v>
      </c>
      <c r="D407" s="1155"/>
      <c r="E407" s="1194">
        <v>2003</v>
      </c>
      <c r="F407" s="1313" t="s">
        <v>1707</v>
      </c>
      <c r="G407" s="766"/>
      <c r="I407" s="1163" t="s">
        <v>1743</v>
      </c>
      <c r="J407" s="1333" t="s">
        <v>14</v>
      </c>
      <c r="K407" s="1196"/>
    </row>
    <row r="409" spans="1:11">
      <c r="A409" s="1130"/>
      <c r="B409" s="1207"/>
      <c r="C409" s="524" t="s">
        <v>1820</v>
      </c>
      <c r="D409" s="525"/>
      <c r="E409" s="526"/>
      <c r="F409" s="524"/>
      <c r="G409" s="524"/>
      <c r="I409" s="1160"/>
      <c r="K409" s="1196"/>
    </row>
    <row r="410" spans="1:11">
      <c r="A410" s="1130"/>
      <c r="B410" s="1210"/>
      <c r="C410" s="1210"/>
      <c r="D410" s="1210"/>
      <c r="E410" s="1210"/>
      <c r="F410" s="1210"/>
      <c r="G410" s="1210"/>
      <c r="I410" s="1210"/>
      <c r="K410" s="1196"/>
    </row>
    <row r="411" spans="1:11">
      <c r="A411" s="1130">
        <v>1</v>
      </c>
      <c r="B411" s="1197" t="s">
        <v>27</v>
      </c>
      <c r="C411" s="767" t="s">
        <v>1388</v>
      </c>
      <c r="D411" s="1204"/>
      <c r="E411" s="1203">
        <v>2002</v>
      </c>
      <c r="F411" s="1205" t="s">
        <v>1695</v>
      </c>
      <c r="G411" s="767"/>
      <c r="I411" s="1160" t="s">
        <v>1759</v>
      </c>
      <c r="J411" s="1333" t="s">
        <v>13</v>
      </c>
      <c r="K411" s="1196"/>
    </row>
    <row r="412" spans="1:11">
      <c r="A412" s="1130">
        <v>2</v>
      </c>
      <c r="B412" s="1197" t="s">
        <v>29</v>
      </c>
      <c r="C412" s="1317" t="s">
        <v>1740</v>
      </c>
      <c r="D412" s="1180"/>
      <c r="E412" s="1194">
        <v>1999</v>
      </c>
      <c r="F412" s="1313" t="s">
        <v>1707</v>
      </c>
      <c r="G412" s="1324"/>
      <c r="I412" s="1160" t="s">
        <v>1753</v>
      </c>
      <c r="J412" s="1333" t="s">
        <v>14</v>
      </c>
      <c r="K412" s="1196"/>
    </row>
    <row r="413" spans="1:11">
      <c r="A413" s="1130">
        <v>3</v>
      </c>
      <c r="B413" s="1197" t="s">
        <v>29</v>
      </c>
      <c r="C413" s="767" t="s">
        <v>1389</v>
      </c>
      <c r="D413" s="1204"/>
      <c r="E413" s="1203">
        <v>2001</v>
      </c>
      <c r="F413" s="1205" t="s">
        <v>1695</v>
      </c>
      <c r="G413" s="767"/>
      <c r="I413" s="1160" t="s">
        <v>1752</v>
      </c>
      <c r="J413" s="1333" t="s">
        <v>14</v>
      </c>
      <c r="K413" s="1196"/>
    </row>
    <row r="414" spans="1:11">
      <c r="A414" s="1130">
        <v>4</v>
      </c>
      <c r="B414" s="1202" t="s">
        <v>27</v>
      </c>
      <c r="C414" s="767" t="s">
        <v>1466</v>
      </c>
      <c r="D414" s="1204"/>
      <c r="E414" s="1203">
        <v>2001</v>
      </c>
      <c r="F414" s="1205" t="s">
        <v>1695</v>
      </c>
      <c r="G414" s="767"/>
      <c r="I414" s="1160" t="s">
        <v>1751</v>
      </c>
      <c r="J414" s="1333" t="s">
        <v>35</v>
      </c>
      <c r="K414" s="1196"/>
    </row>
    <row r="415" spans="1:11">
      <c r="A415" s="1130"/>
      <c r="B415" s="1197" t="s">
        <v>13</v>
      </c>
      <c r="C415" s="1317" t="s">
        <v>1533</v>
      </c>
      <c r="D415" s="1180"/>
      <c r="E415" s="1194">
        <v>2001</v>
      </c>
      <c r="F415" s="1313" t="s">
        <v>1707</v>
      </c>
      <c r="G415" s="1324"/>
      <c r="I415" s="1160" t="s">
        <v>1621</v>
      </c>
      <c r="J415" s="1333"/>
      <c r="K415" s="1196"/>
    </row>
    <row r="416" spans="1:11">
      <c r="J416" s="1333"/>
    </row>
    <row r="417" spans="1:11">
      <c r="A417" s="1130"/>
      <c r="B417" s="1207"/>
      <c r="C417" s="524" t="s">
        <v>1821</v>
      </c>
      <c r="D417" s="542"/>
      <c r="E417" s="542"/>
      <c r="F417" s="542"/>
      <c r="G417" s="542"/>
      <c r="I417" s="1160"/>
      <c r="J417" s="1333"/>
      <c r="K417" s="1160"/>
    </row>
    <row r="418" spans="1:11">
      <c r="A418" s="1130"/>
      <c r="B418" s="1207"/>
      <c r="C418" s="1157"/>
      <c r="D418" s="1204"/>
      <c r="E418" s="1206"/>
      <c r="F418" s="1310"/>
      <c r="G418" s="1310"/>
      <c r="I418" s="1160"/>
      <c r="J418" s="1333"/>
      <c r="K418" s="1133"/>
    </row>
    <row r="419" spans="1:11">
      <c r="A419" s="1130">
        <v>1</v>
      </c>
      <c r="B419" s="1184" t="s">
        <v>27</v>
      </c>
      <c r="C419" s="1181" t="s">
        <v>1478</v>
      </c>
      <c r="D419" s="1181"/>
      <c r="E419" s="1182">
        <v>2001</v>
      </c>
      <c r="F419" s="1183" t="s">
        <v>1713</v>
      </c>
      <c r="G419" s="767"/>
      <c r="I419" s="1184" t="s">
        <v>1773</v>
      </c>
      <c r="J419" s="1333" t="s">
        <v>29</v>
      </c>
      <c r="K419" s="1196"/>
    </row>
    <row r="420" spans="1:11">
      <c r="A420" s="1130">
        <v>2</v>
      </c>
      <c r="B420" s="1184" t="s">
        <v>27</v>
      </c>
      <c r="C420" s="1181" t="s">
        <v>1479</v>
      </c>
      <c r="D420" s="1181"/>
      <c r="E420" s="1182">
        <v>2000</v>
      </c>
      <c r="F420" s="1183" t="s">
        <v>1713</v>
      </c>
      <c r="G420" s="767"/>
      <c r="I420" s="1184" t="s">
        <v>1771</v>
      </c>
      <c r="J420" s="1333" t="s">
        <v>29</v>
      </c>
      <c r="K420" s="1196"/>
    </row>
    <row r="421" spans="1:11">
      <c r="A421" s="1130">
        <v>3</v>
      </c>
      <c r="B421" s="1207" t="s">
        <v>27</v>
      </c>
      <c r="C421" s="1205" t="s">
        <v>1359</v>
      </c>
      <c r="D421" s="1204"/>
      <c r="E421" s="1206">
        <v>2003</v>
      </c>
      <c r="F421" s="1205" t="s">
        <v>1695</v>
      </c>
      <c r="G421" s="767"/>
      <c r="I421" s="1159" t="s">
        <v>1772</v>
      </c>
      <c r="J421" s="1333" t="s">
        <v>29</v>
      </c>
      <c r="K421" s="1160"/>
    </row>
    <row r="422" spans="1:11">
      <c r="A422" s="1130">
        <v>4</v>
      </c>
      <c r="B422" s="1207" t="s">
        <v>27</v>
      </c>
      <c r="C422" s="1205" t="s">
        <v>1487</v>
      </c>
      <c r="D422" s="1204"/>
      <c r="E422" s="1206">
        <v>2003</v>
      </c>
      <c r="F422" s="766" t="s">
        <v>1727</v>
      </c>
      <c r="G422" s="767"/>
      <c r="I422" s="1159" t="s">
        <v>1770</v>
      </c>
      <c r="J422" s="1333" t="s">
        <v>29</v>
      </c>
      <c r="K422" s="1160"/>
    </row>
    <row r="423" spans="1:11">
      <c r="A423" s="1130">
        <v>5</v>
      </c>
      <c r="B423" s="1207" t="s">
        <v>27</v>
      </c>
      <c r="C423" s="1205" t="s">
        <v>1423</v>
      </c>
      <c r="D423" s="1204"/>
      <c r="E423" s="1206">
        <v>2002</v>
      </c>
      <c r="F423" s="1205" t="s">
        <v>1695</v>
      </c>
      <c r="G423" s="767"/>
      <c r="I423" s="1159" t="s">
        <v>1775</v>
      </c>
      <c r="J423" s="1333" t="s">
        <v>29</v>
      </c>
      <c r="K423" s="1160"/>
    </row>
    <row r="424" spans="1:11">
      <c r="A424" s="1130">
        <v>6</v>
      </c>
      <c r="B424" s="1207" t="s">
        <v>29</v>
      </c>
      <c r="C424" s="1167" t="s">
        <v>1483</v>
      </c>
      <c r="D424" s="1155"/>
      <c r="E424" s="1194">
        <v>2003</v>
      </c>
      <c r="F424" s="1313" t="s">
        <v>1707</v>
      </c>
      <c r="G424" s="767"/>
      <c r="I424" s="1163" t="s">
        <v>1763</v>
      </c>
      <c r="J424" s="1333" t="s">
        <v>29</v>
      </c>
      <c r="K424" s="1162"/>
    </row>
    <row r="425" spans="1:11">
      <c r="A425" s="1130">
        <v>7</v>
      </c>
      <c r="B425" s="1207" t="s">
        <v>27</v>
      </c>
      <c r="C425" s="1205" t="s">
        <v>1403</v>
      </c>
      <c r="D425" s="1204"/>
      <c r="E425" s="1206">
        <v>1998</v>
      </c>
      <c r="F425" s="1205" t="s">
        <v>1695</v>
      </c>
      <c r="G425" s="767"/>
      <c r="I425" s="1159" t="s">
        <v>1765</v>
      </c>
      <c r="J425" s="1333" t="s">
        <v>1</v>
      </c>
      <c r="K425" s="1196"/>
    </row>
    <row r="426" spans="1:11">
      <c r="A426" s="1130">
        <v>8</v>
      </c>
      <c r="B426" s="1207" t="s">
        <v>1</v>
      </c>
      <c r="C426" s="1205" t="s">
        <v>1364</v>
      </c>
      <c r="D426" s="1193"/>
      <c r="E426" s="1206">
        <v>2000</v>
      </c>
      <c r="F426" s="1312" t="s">
        <v>1699</v>
      </c>
      <c r="G426" s="767"/>
      <c r="I426" s="1159" t="s">
        <v>1764</v>
      </c>
      <c r="J426" s="1333" t="s">
        <v>1</v>
      </c>
      <c r="K426" s="1196"/>
    </row>
    <row r="427" spans="1:11">
      <c r="A427" s="1130">
        <v>9</v>
      </c>
      <c r="B427" s="1197" t="s">
        <v>1</v>
      </c>
      <c r="C427" s="767" t="s">
        <v>1432</v>
      </c>
      <c r="D427" s="1204"/>
      <c r="E427" s="1203">
        <v>2003</v>
      </c>
      <c r="F427" s="1205" t="s">
        <v>1695</v>
      </c>
      <c r="G427" s="767"/>
      <c r="I427" s="1159" t="s">
        <v>1762</v>
      </c>
      <c r="J427" s="1333" t="s">
        <v>13</v>
      </c>
      <c r="K427" s="1196"/>
    </row>
    <row r="428" spans="1:11">
      <c r="A428" s="1130">
        <v>10</v>
      </c>
      <c r="B428" s="1207" t="s">
        <v>29</v>
      </c>
      <c r="C428" s="1205" t="s">
        <v>1539</v>
      </c>
      <c r="D428" s="1204"/>
      <c r="E428" s="1206">
        <v>2003</v>
      </c>
      <c r="F428" s="1312" t="s">
        <v>1699</v>
      </c>
      <c r="G428" s="766"/>
      <c r="I428" s="1160" t="s">
        <v>1769</v>
      </c>
      <c r="J428" s="1333" t="s">
        <v>14</v>
      </c>
      <c r="K428" s="1203"/>
    </row>
    <row r="429" spans="1:11">
      <c r="A429" s="1130">
        <v>11</v>
      </c>
      <c r="B429" s="1197" t="s">
        <v>1</v>
      </c>
      <c r="C429" s="767" t="s">
        <v>1540</v>
      </c>
      <c r="D429" s="1204"/>
      <c r="E429" s="1203">
        <v>2002</v>
      </c>
      <c r="F429" s="1312" t="s">
        <v>1699</v>
      </c>
      <c r="G429" s="766"/>
      <c r="H429" s="364"/>
      <c r="I429" s="1160" t="s">
        <v>1778</v>
      </c>
      <c r="J429" s="1333" t="s">
        <v>35</v>
      </c>
      <c r="K429" s="1160"/>
    </row>
    <row r="430" spans="1:11">
      <c r="A430" s="1130"/>
      <c r="B430" s="1207" t="s">
        <v>27</v>
      </c>
      <c r="C430" s="1167" t="s">
        <v>1481</v>
      </c>
      <c r="D430" s="1155"/>
      <c r="E430" s="1194">
        <v>2003</v>
      </c>
      <c r="F430" s="1313" t="s">
        <v>1707</v>
      </c>
      <c r="G430" s="767"/>
      <c r="I430" s="1163" t="s">
        <v>1776</v>
      </c>
      <c r="J430" s="1333"/>
      <c r="K430" s="1160"/>
    </row>
    <row r="431" spans="1:11">
      <c r="J431" s="1333"/>
    </row>
    <row r="432" spans="1:11">
      <c r="A432" s="1130"/>
      <c r="B432" s="1132"/>
      <c r="C432" s="524" t="s">
        <v>1828</v>
      </c>
      <c r="D432" s="542"/>
      <c r="E432" s="542"/>
      <c r="F432" s="542"/>
      <c r="G432" s="542"/>
      <c r="I432" s="1133"/>
      <c r="J432" s="1333"/>
      <c r="K432" s="1160"/>
    </row>
    <row r="433" spans="1:11" ht="13.5" customHeight="1">
      <c r="A433" s="1130"/>
      <c r="B433" s="1197"/>
      <c r="C433" s="767"/>
      <c r="D433" s="767"/>
      <c r="E433" s="1129"/>
      <c r="F433" s="17"/>
      <c r="G433" s="766"/>
      <c r="H433" s="364"/>
      <c r="I433" s="1160"/>
      <c r="J433" s="1333"/>
      <c r="K433" s="1160"/>
    </row>
    <row r="434" spans="1:11">
      <c r="A434" s="1130">
        <v>1</v>
      </c>
      <c r="B434" s="1197" t="s">
        <v>23</v>
      </c>
      <c r="C434" s="767" t="s">
        <v>1380</v>
      </c>
      <c r="D434" s="1204"/>
      <c r="E434" s="1203">
        <v>1995</v>
      </c>
      <c r="F434" s="1205" t="s">
        <v>1695</v>
      </c>
      <c r="G434" s="766"/>
      <c r="I434" s="1159" t="s">
        <v>1795</v>
      </c>
      <c r="J434" s="1333" t="s">
        <v>29</v>
      </c>
      <c r="K434" s="1160"/>
    </row>
    <row r="435" spans="1:11">
      <c r="A435" s="1130">
        <v>2</v>
      </c>
      <c r="B435" s="1202" t="s">
        <v>27</v>
      </c>
      <c r="C435" s="767" t="s">
        <v>1349</v>
      </c>
      <c r="D435" s="1204"/>
      <c r="E435" s="1203">
        <v>2003</v>
      </c>
      <c r="F435" s="1205" t="s">
        <v>1695</v>
      </c>
      <c r="G435" s="766"/>
      <c r="I435" s="1159" t="s">
        <v>1797</v>
      </c>
      <c r="J435" s="1333" t="s">
        <v>29</v>
      </c>
      <c r="K435" s="1196"/>
    </row>
    <row r="436" spans="1:11">
      <c r="A436" s="1130">
        <v>3</v>
      </c>
      <c r="B436" s="1197" t="s">
        <v>27</v>
      </c>
      <c r="C436" s="767" t="s">
        <v>1408</v>
      </c>
      <c r="D436" s="1204"/>
      <c r="E436" s="1203">
        <v>2001</v>
      </c>
      <c r="F436" s="1205" t="s">
        <v>1695</v>
      </c>
      <c r="G436" s="766"/>
      <c r="I436" s="1159" t="s">
        <v>1794</v>
      </c>
      <c r="J436" s="1333" t="s">
        <v>29</v>
      </c>
      <c r="K436" s="1203"/>
    </row>
    <row r="437" spans="1:11">
      <c r="A437" s="1130">
        <v>4</v>
      </c>
      <c r="B437" s="1197" t="s">
        <v>27</v>
      </c>
      <c r="C437" s="767" t="s">
        <v>1374</v>
      </c>
      <c r="D437" s="1204"/>
      <c r="E437" s="1203">
        <v>2003</v>
      </c>
      <c r="F437" s="1205" t="s">
        <v>1695</v>
      </c>
      <c r="G437" s="766"/>
      <c r="I437" s="1159" t="s">
        <v>1793</v>
      </c>
      <c r="J437" s="1333" t="s">
        <v>29</v>
      </c>
      <c r="K437" s="1160"/>
    </row>
    <row r="438" spans="1:11">
      <c r="A438" s="1130">
        <v>5</v>
      </c>
      <c r="B438" s="1136" t="s">
        <v>27</v>
      </c>
      <c r="C438" s="1131" t="s">
        <v>1417</v>
      </c>
      <c r="D438" s="1131"/>
      <c r="E438" s="1136">
        <v>2003</v>
      </c>
      <c r="F438" s="1312" t="s">
        <v>1699</v>
      </c>
      <c r="G438" s="766"/>
      <c r="H438" s="1131"/>
      <c r="I438" s="1159" t="s">
        <v>1792</v>
      </c>
      <c r="J438" s="1333" t="s">
        <v>1</v>
      </c>
      <c r="K438" s="1210"/>
    </row>
    <row r="439" spans="1:11">
      <c r="A439" s="1130">
        <v>6</v>
      </c>
      <c r="B439" s="1197" t="s">
        <v>13</v>
      </c>
      <c r="C439" s="767" t="s">
        <v>1420</v>
      </c>
      <c r="D439" s="1204"/>
      <c r="E439" s="1203">
        <v>2002</v>
      </c>
      <c r="F439" s="1312" t="s">
        <v>1699</v>
      </c>
      <c r="G439" s="766"/>
      <c r="H439" s="1131"/>
      <c r="I439" s="1159" t="s">
        <v>1791</v>
      </c>
      <c r="J439" s="1333" t="s">
        <v>1</v>
      </c>
      <c r="K439" s="1162"/>
    </row>
    <row r="440" spans="1:11">
      <c r="A440" s="1130">
        <v>7</v>
      </c>
      <c r="B440" s="1202" t="s">
        <v>1</v>
      </c>
      <c r="C440" s="1317" t="s">
        <v>1509</v>
      </c>
      <c r="D440" s="1315"/>
      <c r="E440" s="1194">
        <v>2000</v>
      </c>
      <c r="F440" s="1313" t="s">
        <v>1707</v>
      </c>
      <c r="G440" s="766"/>
      <c r="I440" s="1159" t="s">
        <v>1799</v>
      </c>
      <c r="J440" s="1333" t="s">
        <v>1</v>
      </c>
      <c r="K440" s="1196"/>
    </row>
    <row r="441" spans="1:11">
      <c r="A441" s="1130">
        <v>8</v>
      </c>
      <c r="B441" s="1197" t="s">
        <v>29</v>
      </c>
      <c r="C441" s="767" t="s">
        <v>1378</v>
      </c>
      <c r="D441" s="1204"/>
      <c r="E441" s="1203">
        <v>2002</v>
      </c>
      <c r="F441" s="1205" t="s">
        <v>1695</v>
      </c>
      <c r="G441" s="766"/>
      <c r="H441" s="1131"/>
      <c r="I441" s="1159" t="s">
        <v>1790</v>
      </c>
      <c r="J441" s="1333" t="s">
        <v>13</v>
      </c>
      <c r="K441" s="1210"/>
    </row>
    <row r="442" spans="1:11">
      <c r="A442" s="1130">
        <v>9</v>
      </c>
      <c r="B442" s="1197" t="s">
        <v>29</v>
      </c>
      <c r="C442" s="766" t="s">
        <v>1510</v>
      </c>
      <c r="D442" s="1204"/>
      <c r="E442" s="1203">
        <v>2003</v>
      </c>
      <c r="F442" s="1205" t="s">
        <v>1719</v>
      </c>
      <c r="G442" s="766"/>
      <c r="I442" s="1160" t="s">
        <v>1781</v>
      </c>
      <c r="J442" s="1333" t="s">
        <v>13</v>
      </c>
      <c r="K442" s="1135"/>
    </row>
    <row r="446" spans="1:11">
      <c r="A446" s="1210"/>
      <c r="B446" s="1210"/>
      <c r="C446" s="524" t="s">
        <v>1831</v>
      </c>
      <c r="D446" s="525"/>
      <c r="E446" s="526"/>
      <c r="F446" s="524"/>
      <c r="G446" s="524"/>
      <c r="H446" s="527"/>
      <c r="I446" s="732"/>
    </row>
    <row r="447" spans="1:11">
      <c r="A447" s="1130"/>
      <c r="B447" s="1210"/>
      <c r="C447" s="1210"/>
      <c r="D447" s="1210"/>
      <c r="E447" s="1210"/>
      <c r="F447" s="1210"/>
      <c r="G447" s="1210"/>
      <c r="H447" s="1210"/>
      <c r="I447" s="1210"/>
    </row>
    <row r="448" spans="1:11">
      <c r="A448" s="1130">
        <v>1</v>
      </c>
      <c r="B448" s="1207" t="s">
        <v>23</v>
      </c>
      <c r="C448" s="1167" t="s">
        <v>1736</v>
      </c>
      <c r="D448" s="1166"/>
      <c r="E448" s="1194">
        <v>1999</v>
      </c>
      <c r="F448" s="1313" t="s">
        <v>1443</v>
      </c>
      <c r="G448" s="766" t="s">
        <v>1833</v>
      </c>
      <c r="I448" s="1159">
        <v>16.86</v>
      </c>
      <c r="J448" s="1163"/>
      <c r="K448" s="765"/>
    </row>
    <row r="449" spans="1:11">
      <c r="A449" s="1130">
        <v>2</v>
      </c>
      <c r="B449" s="1207" t="s">
        <v>25</v>
      </c>
      <c r="C449" s="1167" t="s">
        <v>1534</v>
      </c>
      <c r="D449" s="1166"/>
      <c r="E449" s="1194">
        <v>2003</v>
      </c>
      <c r="F449" s="1313" t="s">
        <v>1443</v>
      </c>
      <c r="G449" s="766" t="s">
        <v>1833</v>
      </c>
      <c r="I449" s="1159">
        <v>17.510000000000002</v>
      </c>
      <c r="J449" s="1163"/>
    </row>
    <row r="450" spans="1:11">
      <c r="A450" s="1130">
        <v>3</v>
      </c>
      <c r="B450" s="1207" t="s">
        <v>27</v>
      </c>
      <c r="C450" s="1205" t="s">
        <v>567</v>
      </c>
      <c r="D450" s="1204"/>
      <c r="E450" s="1206">
        <v>1999</v>
      </c>
      <c r="F450" s="1330" t="s">
        <v>1431</v>
      </c>
      <c r="G450" s="766" t="s">
        <v>1832</v>
      </c>
      <c r="I450" s="1159">
        <v>18.11</v>
      </c>
      <c r="J450" s="1160"/>
      <c r="K450" s="1160"/>
    </row>
    <row r="451" spans="1:11">
      <c r="A451" s="1130">
        <v>4</v>
      </c>
      <c r="B451" s="1207" t="s">
        <v>27</v>
      </c>
      <c r="C451" s="1205" t="s">
        <v>1535</v>
      </c>
      <c r="D451" s="1204"/>
      <c r="E451" s="1206">
        <v>2002</v>
      </c>
      <c r="F451" s="1330" t="s">
        <v>1485</v>
      </c>
      <c r="G451" s="766" t="s">
        <v>1833</v>
      </c>
      <c r="I451" s="1159">
        <v>18.39</v>
      </c>
      <c r="J451" s="1160"/>
      <c r="K451" s="1160"/>
    </row>
    <row r="452" spans="1:11">
      <c r="A452" s="1130">
        <v>5</v>
      </c>
      <c r="B452" s="1207" t="s">
        <v>25</v>
      </c>
      <c r="C452" s="1205" t="s">
        <v>580</v>
      </c>
      <c r="D452" s="1204"/>
      <c r="E452" s="1206">
        <v>1998</v>
      </c>
      <c r="F452" s="1330" t="s">
        <v>1431</v>
      </c>
      <c r="G452" s="766" t="s">
        <v>1832</v>
      </c>
      <c r="I452" s="1159">
        <v>18.64</v>
      </c>
      <c r="J452" s="1160"/>
    </row>
    <row r="453" spans="1:11">
      <c r="A453" s="1130">
        <v>6</v>
      </c>
      <c r="B453" s="1207" t="s">
        <v>29</v>
      </c>
      <c r="C453" s="1205" t="s">
        <v>1434</v>
      </c>
      <c r="D453" s="1204"/>
      <c r="E453" s="1206">
        <v>2003</v>
      </c>
      <c r="F453" s="1330" t="s">
        <v>1433</v>
      </c>
      <c r="G453" s="766" t="s">
        <v>1832</v>
      </c>
      <c r="I453" s="1159">
        <v>18.96</v>
      </c>
      <c r="J453" s="1160"/>
      <c r="K453" s="765"/>
    </row>
    <row r="454" spans="1:11">
      <c r="A454" s="1130">
        <v>7</v>
      </c>
      <c r="B454" s="1207" t="s">
        <v>27</v>
      </c>
      <c r="C454" s="1205" t="s">
        <v>1735</v>
      </c>
      <c r="D454" s="1204"/>
      <c r="E454" s="1206">
        <v>2001</v>
      </c>
      <c r="F454" s="1330" t="s">
        <v>1463</v>
      </c>
      <c r="G454" s="766" t="s">
        <v>1833</v>
      </c>
      <c r="I454" s="1159">
        <v>19.22</v>
      </c>
      <c r="J454" s="1160"/>
      <c r="K454" s="765"/>
    </row>
    <row r="455" spans="1:11">
      <c r="A455" s="1130">
        <v>8</v>
      </c>
      <c r="B455" s="1207" t="s">
        <v>29</v>
      </c>
      <c r="C455" s="1205" t="s">
        <v>1414</v>
      </c>
      <c r="D455" s="1204"/>
      <c r="E455" s="1206">
        <v>2001</v>
      </c>
      <c r="F455" s="1330" t="s">
        <v>1433</v>
      </c>
      <c r="G455" s="766" t="s">
        <v>1832</v>
      </c>
      <c r="I455" s="1159">
        <v>20.81</v>
      </c>
      <c r="J455" s="1160"/>
      <c r="K455" s="1160"/>
    </row>
    <row r="456" spans="1:11">
      <c r="A456" s="1130">
        <v>9</v>
      </c>
      <c r="B456" s="1207" t="s">
        <v>1</v>
      </c>
      <c r="C456" s="1205" t="s">
        <v>1432</v>
      </c>
      <c r="D456" s="1204"/>
      <c r="E456" s="1206">
        <v>2003</v>
      </c>
      <c r="F456" s="1330" t="s">
        <v>1431</v>
      </c>
      <c r="G456" s="766" t="s">
        <v>1832</v>
      </c>
      <c r="I456" s="1159">
        <v>20.96</v>
      </c>
      <c r="J456" s="1160"/>
      <c r="K456" s="1160"/>
    </row>
    <row r="457" spans="1:11">
      <c r="A457" s="1130"/>
      <c r="B457" s="1207" t="s">
        <v>27</v>
      </c>
      <c r="C457" s="1167" t="s">
        <v>1734</v>
      </c>
      <c r="D457" s="1166"/>
      <c r="E457" s="1194">
        <v>2001</v>
      </c>
      <c r="F457" s="1313" t="s">
        <v>1443</v>
      </c>
      <c r="G457" s="766" t="s">
        <v>1833</v>
      </c>
      <c r="I457" s="1473" t="s">
        <v>1621</v>
      </c>
      <c r="J457" s="1163"/>
      <c r="K457" s="1196"/>
    </row>
    <row r="458" spans="1:11">
      <c r="A458" s="1130"/>
      <c r="B458" s="1201"/>
      <c r="C458" s="1205"/>
      <c r="D458" s="1204"/>
      <c r="E458" s="1206"/>
      <c r="F458" s="1330"/>
      <c r="G458" s="766"/>
      <c r="I458" s="1159"/>
      <c r="J458" s="1160"/>
      <c r="K458" s="765"/>
    </row>
    <row r="459" spans="1:11">
      <c r="A459" s="1130"/>
      <c r="B459" s="1207"/>
      <c r="C459" s="524" t="s">
        <v>1834</v>
      </c>
      <c r="D459" s="525"/>
      <c r="E459" s="526"/>
      <c r="F459" s="524"/>
      <c r="G459" s="524"/>
      <c r="J459" s="1160"/>
      <c r="K459" s="1196"/>
    </row>
    <row r="460" spans="1:11">
      <c r="A460" s="1130"/>
      <c r="B460" s="1207"/>
      <c r="C460" s="524"/>
      <c r="D460" s="525"/>
      <c r="E460" s="526"/>
      <c r="F460" s="524"/>
      <c r="G460" s="524"/>
      <c r="J460" s="1160"/>
      <c r="K460" s="1196"/>
    </row>
    <row r="461" spans="1:11">
      <c r="A461" s="1130">
        <v>1</v>
      </c>
      <c r="B461" s="1202" t="s">
        <v>25</v>
      </c>
      <c r="C461" s="1205" t="s">
        <v>1462</v>
      </c>
      <c r="D461" s="1204"/>
      <c r="E461" s="1206">
        <v>2001</v>
      </c>
      <c r="F461" s="17" t="s">
        <v>1463</v>
      </c>
      <c r="G461" s="767" t="s">
        <v>1442</v>
      </c>
      <c r="I461" s="1159">
        <v>14.72</v>
      </c>
      <c r="J461" s="1160"/>
      <c r="K461" s="1203"/>
    </row>
    <row r="462" spans="1:11">
      <c r="A462" s="1130">
        <v>2</v>
      </c>
      <c r="B462" s="1177" t="s">
        <v>23</v>
      </c>
      <c r="C462" s="1157" t="s">
        <v>1453</v>
      </c>
      <c r="D462" s="1166"/>
      <c r="E462" s="1206">
        <v>2002</v>
      </c>
      <c r="F462" s="1205" t="s">
        <v>1454</v>
      </c>
      <c r="G462" s="767" t="s">
        <v>1465</v>
      </c>
      <c r="I462" s="1159">
        <v>14.97</v>
      </c>
      <c r="J462" s="1160"/>
      <c r="K462" s="1160"/>
    </row>
    <row r="463" spans="1:11">
      <c r="A463" s="1130">
        <v>3</v>
      </c>
      <c r="B463" s="1202" t="s">
        <v>25</v>
      </c>
      <c r="C463" s="1157" t="s">
        <v>1738</v>
      </c>
      <c r="D463" s="1204"/>
      <c r="E463" s="1206">
        <v>1997</v>
      </c>
      <c r="F463" s="27" t="s">
        <v>1464</v>
      </c>
      <c r="G463" s="767" t="s">
        <v>1449</v>
      </c>
      <c r="I463" s="1159">
        <v>15.12</v>
      </c>
      <c r="J463" s="1160"/>
      <c r="K463" s="1160"/>
    </row>
    <row r="464" spans="1:11">
      <c r="A464" s="1130">
        <v>4</v>
      </c>
      <c r="B464" s="1207" t="s">
        <v>27</v>
      </c>
      <c r="C464" s="1167" t="s">
        <v>1459</v>
      </c>
      <c r="D464" s="1166"/>
      <c r="E464" s="1194">
        <v>2003</v>
      </c>
      <c r="F464" s="1190" t="s">
        <v>1443</v>
      </c>
      <c r="G464" s="767" t="s">
        <v>1442</v>
      </c>
      <c r="I464" s="1159">
        <v>15.64</v>
      </c>
      <c r="J464" s="1163"/>
      <c r="K464" s="1160"/>
    </row>
    <row r="465" spans="1:11">
      <c r="A465" s="1130">
        <v>5</v>
      </c>
      <c r="B465" s="1207" t="s">
        <v>27</v>
      </c>
      <c r="C465" s="1167" t="s">
        <v>1461</v>
      </c>
      <c r="D465" s="1166"/>
      <c r="E465" s="1194">
        <v>2003</v>
      </c>
      <c r="F465" s="1190" t="s">
        <v>1443</v>
      </c>
      <c r="G465" s="767" t="s">
        <v>1442</v>
      </c>
      <c r="I465" s="1159">
        <v>15.92</v>
      </c>
      <c r="J465" s="1163"/>
      <c r="K465" s="1160"/>
    </row>
    <row r="466" spans="1:11">
      <c r="A466" s="1130">
        <v>6</v>
      </c>
      <c r="B466" s="1207" t="s">
        <v>27</v>
      </c>
      <c r="C466" s="1167" t="s">
        <v>1460</v>
      </c>
      <c r="D466" s="1166"/>
      <c r="E466" s="1194">
        <v>2003</v>
      </c>
      <c r="F466" s="1190" t="s">
        <v>1443</v>
      </c>
      <c r="G466" s="767" t="s">
        <v>1442</v>
      </c>
      <c r="I466" s="1159">
        <v>16.010000000000002</v>
      </c>
      <c r="J466" s="1163"/>
      <c r="K466" s="1163"/>
    </row>
    <row r="467" spans="1:11">
      <c r="A467" s="1130">
        <v>7</v>
      </c>
      <c r="B467" s="1207" t="s">
        <v>27</v>
      </c>
      <c r="C467" s="1205" t="s">
        <v>1529</v>
      </c>
      <c r="D467" s="1204"/>
      <c r="E467" s="1206">
        <v>2003</v>
      </c>
      <c r="F467" s="1205" t="s">
        <v>1485</v>
      </c>
      <c r="G467" s="767" t="s">
        <v>1442</v>
      </c>
      <c r="I467" s="1159">
        <v>16.14</v>
      </c>
      <c r="J467" s="1160"/>
      <c r="K467" s="1176"/>
    </row>
    <row r="468" spans="1:11">
      <c r="A468" s="1130">
        <v>8</v>
      </c>
      <c r="B468" s="1207" t="s">
        <v>29</v>
      </c>
      <c r="C468" s="1205" t="s">
        <v>1348</v>
      </c>
      <c r="D468" s="1204"/>
      <c r="E468" s="1206">
        <v>2003</v>
      </c>
      <c r="F468" s="1205" t="s">
        <v>1431</v>
      </c>
      <c r="G468" s="767" t="s">
        <v>1447</v>
      </c>
      <c r="I468" s="1159">
        <v>16.2</v>
      </c>
      <c r="J468" s="1160"/>
      <c r="K468" s="1160"/>
    </row>
    <row r="469" spans="1:11">
      <c r="A469" s="1130">
        <v>9</v>
      </c>
      <c r="B469" s="1207" t="s">
        <v>29</v>
      </c>
      <c r="C469" s="1205" t="s">
        <v>1416</v>
      </c>
      <c r="D469" s="1204"/>
      <c r="E469" s="1206">
        <v>2003</v>
      </c>
      <c r="F469" s="1205" t="s">
        <v>1431</v>
      </c>
      <c r="G469" s="767" t="s">
        <v>1447</v>
      </c>
      <c r="I469" s="1159">
        <v>16.260000000000002</v>
      </c>
      <c r="J469" s="1160"/>
      <c r="K469" s="1160"/>
    </row>
    <row r="470" spans="1:11">
      <c r="A470" s="1130">
        <v>10</v>
      </c>
      <c r="B470" s="1207" t="s">
        <v>27</v>
      </c>
      <c r="C470" s="1167" t="s">
        <v>1458</v>
      </c>
      <c r="D470" s="1166"/>
      <c r="E470" s="1194">
        <v>2001</v>
      </c>
      <c r="F470" s="1190" t="s">
        <v>1443</v>
      </c>
      <c r="G470" s="767" t="s">
        <v>1442</v>
      </c>
      <c r="I470" s="1159">
        <v>16.28</v>
      </c>
      <c r="J470" s="1163"/>
      <c r="K470" s="1160"/>
    </row>
    <row r="471" spans="1:11">
      <c r="A471" s="1130">
        <v>11</v>
      </c>
      <c r="B471" s="1207" t="s">
        <v>27</v>
      </c>
      <c r="C471" s="1205" t="s">
        <v>1532</v>
      </c>
      <c r="D471" s="1204"/>
      <c r="E471" s="1206">
        <v>1999</v>
      </c>
      <c r="F471" s="1205" t="s">
        <v>1431</v>
      </c>
      <c r="G471" s="767" t="s">
        <v>1447</v>
      </c>
      <c r="I471" s="1159">
        <v>16.579999999999998</v>
      </c>
      <c r="J471" s="1160"/>
      <c r="K471" s="1160"/>
    </row>
    <row r="472" spans="1:11">
      <c r="A472" s="1130">
        <v>12</v>
      </c>
      <c r="B472" s="1207" t="s">
        <v>27</v>
      </c>
      <c r="C472" s="1167" t="s">
        <v>1508</v>
      </c>
      <c r="D472" s="1166"/>
      <c r="E472" s="1194">
        <v>2003</v>
      </c>
      <c r="F472" s="1190" t="s">
        <v>1443</v>
      </c>
      <c r="G472" s="767" t="s">
        <v>1442</v>
      </c>
      <c r="I472" s="1159">
        <v>16.87</v>
      </c>
      <c r="J472" s="1163"/>
      <c r="K472" s="1160"/>
    </row>
    <row r="473" spans="1:11">
      <c r="A473" s="1130">
        <v>13</v>
      </c>
      <c r="B473" s="1177" t="s">
        <v>15</v>
      </c>
      <c r="C473" s="1205" t="s">
        <v>1456</v>
      </c>
      <c r="D473" s="1204"/>
      <c r="E473" s="1206">
        <v>2002</v>
      </c>
      <c r="F473" s="1205" t="s">
        <v>1452</v>
      </c>
      <c r="G473" s="767" t="s">
        <v>1442</v>
      </c>
      <c r="I473" s="1159">
        <v>16.98</v>
      </c>
      <c r="J473" s="1160"/>
      <c r="K473" s="1160"/>
    </row>
    <row r="474" spans="1:11">
      <c r="A474" s="1130">
        <v>14</v>
      </c>
      <c r="B474" s="1177" t="s">
        <v>15</v>
      </c>
      <c r="C474" s="1205" t="s">
        <v>1506</v>
      </c>
      <c r="D474" s="1204"/>
      <c r="E474" s="1206">
        <v>1996</v>
      </c>
      <c r="F474" s="1205" t="s">
        <v>1452</v>
      </c>
      <c r="G474" s="767" t="s">
        <v>1442</v>
      </c>
      <c r="I474" s="1159">
        <v>17.149999999999999</v>
      </c>
      <c r="J474" s="1160"/>
      <c r="K474" s="1176"/>
    </row>
    <row r="475" spans="1:11">
      <c r="A475" s="1130">
        <v>15</v>
      </c>
      <c r="B475" s="1207" t="s">
        <v>27</v>
      </c>
      <c r="C475" s="1205" t="s">
        <v>1374</v>
      </c>
      <c r="D475" s="1204"/>
      <c r="E475" s="1206">
        <v>2003</v>
      </c>
      <c r="F475" s="1205" t="s">
        <v>1431</v>
      </c>
      <c r="G475" s="767" t="s">
        <v>1447</v>
      </c>
      <c r="I475" s="1159">
        <v>17.16</v>
      </c>
      <c r="J475" s="1160"/>
      <c r="K475" s="1160"/>
    </row>
    <row r="476" spans="1:11">
      <c r="A476" s="1130">
        <v>16</v>
      </c>
      <c r="B476" s="1207" t="s">
        <v>29</v>
      </c>
      <c r="C476" s="1167" t="s">
        <v>1740</v>
      </c>
      <c r="D476" s="1166"/>
      <c r="E476" s="1194">
        <v>1999</v>
      </c>
      <c r="F476" s="1190" t="s">
        <v>1443</v>
      </c>
      <c r="G476" s="767" t="s">
        <v>1442</v>
      </c>
      <c r="I476" s="1159">
        <v>17.23</v>
      </c>
      <c r="J476" s="1163"/>
      <c r="K476" s="1160"/>
    </row>
    <row r="477" spans="1:11">
      <c r="A477" s="1130">
        <v>17</v>
      </c>
      <c r="B477" s="1207" t="s">
        <v>29</v>
      </c>
      <c r="C477" s="1205" t="s">
        <v>1378</v>
      </c>
      <c r="D477" s="1204"/>
      <c r="E477" s="1206">
        <v>2002</v>
      </c>
      <c r="F477" s="1205" t="s">
        <v>1431</v>
      </c>
      <c r="G477" s="767" t="s">
        <v>1447</v>
      </c>
      <c r="I477" s="1159">
        <v>17.45</v>
      </c>
      <c r="J477" s="1160"/>
      <c r="K477" s="1160"/>
    </row>
    <row r="478" spans="1:11">
      <c r="A478" s="1130">
        <v>18</v>
      </c>
      <c r="B478" s="1207" t="s">
        <v>29</v>
      </c>
      <c r="C478" s="1205" t="s">
        <v>1389</v>
      </c>
      <c r="D478" s="1204"/>
      <c r="E478" s="1206">
        <v>2001</v>
      </c>
      <c r="F478" s="1205" t="s">
        <v>1431</v>
      </c>
      <c r="G478" s="767" t="s">
        <v>1447</v>
      </c>
      <c r="I478" s="1159">
        <v>17.53</v>
      </c>
      <c r="J478" s="1160"/>
      <c r="K478" s="1160"/>
    </row>
    <row r="479" spans="1:11">
      <c r="A479" s="1130">
        <v>19</v>
      </c>
      <c r="B479" s="1207" t="s">
        <v>1</v>
      </c>
      <c r="C479" s="1205" t="s">
        <v>1375</v>
      </c>
      <c r="D479" s="1204"/>
      <c r="E479" s="1206">
        <v>2002</v>
      </c>
      <c r="F479" s="1205" t="s">
        <v>1433</v>
      </c>
      <c r="G479" s="767" t="s">
        <v>1447</v>
      </c>
      <c r="I479" s="1159">
        <v>17.53</v>
      </c>
      <c r="J479" s="1160"/>
      <c r="K479" s="1176"/>
    </row>
    <row r="480" spans="1:11">
      <c r="A480" s="1130">
        <v>20</v>
      </c>
      <c r="B480" s="1207" t="s">
        <v>1</v>
      </c>
      <c r="C480" s="1205" t="s">
        <v>1383</v>
      </c>
      <c r="D480" s="1204"/>
      <c r="E480" s="1206">
        <v>2003</v>
      </c>
      <c r="F480" s="27" t="s">
        <v>1512</v>
      </c>
      <c r="G480" s="767" t="s">
        <v>1449</v>
      </c>
      <c r="I480" s="1159">
        <v>17.72</v>
      </c>
      <c r="J480" s="1160"/>
      <c r="K480" s="1160"/>
    </row>
    <row r="481" spans="1:11">
      <c r="A481" s="1130">
        <v>21</v>
      </c>
      <c r="B481" s="1168" t="s">
        <v>29</v>
      </c>
      <c r="C481" s="1205" t="s">
        <v>1507</v>
      </c>
      <c r="D481" s="1204"/>
      <c r="E481" s="1206">
        <v>2003</v>
      </c>
      <c r="F481" s="1205" t="s">
        <v>1433</v>
      </c>
      <c r="G481" s="767" t="s">
        <v>1447</v>
      </c>
      <c r="I481" s="1159">
        <v>17.739999999999998</v>
      </c>
      <c r="J481" s="1160"/>
      <c r="K481" s="1176"/>
    </row>
    <row r="482" spans="1:11">
      <c r="A482" s="1130">
        <v>22</v>
      </c>
      <c r="B482" s="1207" t="s">
        <v>29</v>
      </c>
      <c r="C482" s="1205" t="s">
        <v>1390</v>
      </c>
      <c r="D482" s="1204"/>
      <c r="E482" s="1206">
        <v>2003</v>
      </c>
      <c r="F482" s="1205" t="s">
        <v>1433</v>
      </c>
      <c r="G482" s="767" t="s">
        <v>1447</v>
      </c>
      <c r="I482" s="1159">
        <v>18.100000000000001</v>
      </c>
      <c r="J482" s="1163"/>
      <c r="K482" s="1176"/>
    </row>
    <row r="483" spans="1:11">
      <c r="A483" s="1130">
        <v>23</v>
      </c>
      <c r="B483" s="1207" t="s">
        <v>29</v>
      </c>
      <c r="C483" s="1205" t="s">
        <v>1377</v>
      </c>
      <c r="D483" s="1204"/>
      <c r="E483" s="1206">
        <v>2002</v>
      </c>
      <c r="F483" s="1205" t="s">
        <v>1431</v>
      </c>
      <c r="G483" s="767" t="s">
        <v>1447</v>
      </c>
      <c r="I483" s="1159">
        <v>19.02</v>
      </c>
      <c r="J483" s="1160"/>
      <c r="K483" s="1160"/>
    </row>
    <row r="484" spans="1:11">
      <c r="A484" s="1130">
        <v>24</v>
      </c>
      <c r="B484" s="1177" t="s">
        <v>15</v>
      </c>
      <c r="C484" s="1205" t="s">
        <v>1505</v>
      </c>
      <c r="D484" s="1204"/>
      <c r="E484" s="1206">
        <v>2000</v>
      </c>
      <c r="F484" s="1205" t="s">
        <v>1452</v>
      </c>
      <c r="G484" s="767" t="s">
        <v>1442</v>
      </c>
      <c r="I484" s="1159">
        <v>20.309999999999999</v>
      </c>
      <c r="J484" s="1160"/>
      <c r="K484" s="1160"/>
    </row>
    <row r="485" spans="1:11">
      <c r="B485" s="1207"/>
      <c r="C485" s="524"/>
      <c r="D485" s="525"/>
      <c r="E485" s="526"/>
      <c r="F485" s="524"/>
      <c r="G485" s="524"/>
      <c r="J485" s="1160"/>
      <c r="K485" s="1196"/>
    </row>
    <row r="486" spans="1:11">
      <c r="A486" s="1130"/>
      <c r="B486" s="1207"/>
      <c r="C486" s="524" t="s">
        <v>1835</v>
      </c>
      <c r="D486" s="525"/>
      <c r="E486" s="526"/>
      <c r="F486" s="524"/>
      <c r="G486" s="524"/>
      <c r="J486" s="1209"/>
      <c r="K486" s="1160"/>
    </row>
    <row r="487" spans="1:11" ht="12" customHeight="1">
      <c r="A487" s="1130"/>
      <c r="B487" s="1207"/>
      <c r="C487" s="1205"/>
      <c r="D487" s="1204"/>
      <c r="E487" s="1129"/>
      <c r="F487" s="1330"/>
      <c r="G487" s="1446"/>
      <c r="J487" s="1330"/>
      <c r="K487" s="1447"/>
    </row>
    <row r="488" spans="1:11">
      <c r="A488" s="1130">
        <v>1</v>
      </c>
      <c r="B488" s="1207" t="s">
        <v>27</v>
      </c>
      <c r="C488" s="1205" t="s">
        <v>1437</v>
      </c>
      <c r="D488" s="1204"/>
      <c r="E488" s="1206">
        <v>2002</v>
      </c>
      <c r="F488" s="1330" t="s">
        <v>1438</v>
      </c>
      <c r="G488" s="766" t="s">
        <v>1442</v>
      </c>
      <c r="I488" s="1159" t="s">
        <v>1874</v>
      </c>
      <c r="J488" s="1160"/>
      <c r="K488" s="1170"/>
    </row>
    <row r="489" spans="1:11">
      <c r="A489" s="1130">
        <v>2</v>
      </c>
      <c r="B489" s="1207" t="s">
        <v>27</v>
      </c>
      <c r="C489" s="1205" t="s">
        <v>1541</v>
      </c>
      <c r="D489" s="1204"/>
      <c r="E489" s="1206">
        <v>2003</v>
      </c>
      <c r="F489" s="1330" t="s">
        <v>1542</v>
      </c>
      <c r="G489" s="767" t="s">
        <v>1442</v>
      </c>
      <c r="I489" s="1159" t="s">
        <v>1876</v>
      </c>
      <c r="J489" s="1159"/>
      <c r="K489" s="1160"/>
    </row>
    <row r="490" spans="1:11">
      <c r="A490" s="1130">
        <v>3</v>
      </c>
      <c r="B490" s="1207" t="s">
        <v>27</v>
      </c>
      <c r="C490" s="1205" t="s">
        <v>1413</v>
      </c>
      <c r="D490" s="1204"/>
      <c r="E490" s="1206">
        <v>1998</v>
      </c>
      <c r="F490" s="1330" t="s">
        <v>1430</v>
      </c>
      <c r="G490" s="766" t="s">
        <v>1447</v>
      </c>
      <c r="I490" s="1159" t="s">
        <v>1875</v>
      </c>
      <c r="J490" s="1160"/>
      <c r="K490" s="1170"/>
    </row>
    <row r="491" spans="1:11">
      <c r="A491" s="1130">
        <v>4</v>
      </c>
      <c r="B491" s="1168" t="s">
        <v>27</v>
      </c>
      <c r="C491" s="1205" t="s">
        <v>666</v>
      </c>
      <c r="D491" s="1204"/>
      <c r="E491" s="1206">
        <v>2003</v>
      </c>
      <c r="F491" s="1330" t="s">
        <v>1433</v>
      </c>
      <c r="G491" s="766" t="s">
        <v>1447</v>
      </c>
      <c r="I491" s="1159" t="s">
        <v>1878</v>
      </c>
      <c r="J491" s="1160"/>
      <c r="K491" s="1170"/>
    </row>
    <row r="492" spans="1:11">
      <c r="A492" s="1130">
        <v>5</v>
      </c>
      <c r="B492" s="1207" t="s">
        <v>27</v>
      </c>
      <c r="C492" s="1205" t="s">
        <v>567</v>
      </c>
      <c r="D492" s="1204"/>
      <c r="E492" s="1206">
        <v>1999</v>
      </c>
      <c r="F492" s="1330" t="s">
        <v>1431</v>
      </c>
      <c r="G492" s="766" t="s">
        <v>1447</v>
      </c>
      <c r="I492" s="1159" t="s">
        <v>1873</v>
      </c>
      <c r="J492" s="1160"/>
      <c r="K492" s="1160"/>
    </row>
    <row r="493" spans="1:11">
      <c r="A493" s="1130">
        <v>6</v>
      </c>
      <c r="B493" s="1207" t="s">
        <v>29</v>
      </c>
      <c r="C493" s="1205" t="s">
        <v>1441</v>
      </c>
      <c r="D493" s="1204"/>
      <c r="E493" s="1206">
        <v>2003</v>
      </c>
      <c r="F493" s="1330" t="s">
        <v>1433</v>
      </c>
      <c r="G493" s="766" t="s">
        <v>1449</v>
      </c>
      <c r="I493" s="1159" t="s">
        <v>1879</v>
      </c>
      <c r="J493" s="1160"/>
      <c r="K493" s="1160"/>
    </row>
    <row r="494" spans="1:11">
      <c r="A494" s="1130">
        <v>7</v>
      </c>
      <c r="B494" s="1207" t="s">
        <v>1</v>
      </c>
      <c r="C494" s="1167" t="s">
        <v>1436</v>
      </c>
      <c r="D494" s="1194"/>
      <c r="E494" s="1206">
        <v>2003</v>
      </c>
      <c r="F494" s="1313" t="s">
        <v>1443</v>
      </c>
      <c r="G494" s="766" t="s">
        <v>1442</v>
      </c>
      <c r="I494" s="1159" t="s">
        <v>1872</v>
      </c>
      <c r="J494" s="1163"/>
      <c r="K494" s="1170"/>
    </row>
    <row r="496" spans="1:11">
      <c r="A496" s="1130"/>
      <c r="B496" s="1207"/>
      <c r="C496" s="524" t="s">
        <v>1836</v>
      </c>
      <c r="D496" s="525"/>
      <c r="E496" s="526"/>
      <c r="F496" s="524"/>
      <c r="G496" s="524"/>
      <c r="I496" s="1159"/>
      <c r="J496" s="1447"/>
    </row>
    <row r="497" spans="1:11">
      <c r="A497" s="1130"/>
      <c r="B497" s="1210"/>
      <c r="C497" s="1210"/>
      <c r="D497" s="1210"/>
      <c r="E497" s="1210"/>
      <c r="F497" s="1210"/>
      <c r="G497" s="1210"/>
      <c r="I497" s="1159"/>
      <c r="J497" s="1210"/>
    </row>
    <row r="498" spans="1:11">
      <c r="A498" s="1130">
        <v>1</v>
      </c>
      <c r="B498" s="1207" t="s">
        <v>25</v>
      </c>
      <c r="C498" s="1169" t="s">
        <v>619</v>
      </c>
      <c r="D498" s="1189"/>
      <c r="E498" s="1206">
        <v>1995</v>
      </c>
      <c r="F498" s="1205" t="s">
        <v>1431</v>
      </c>
      <c r="G498" s="767" t="s">
        <v>1449</v>
      </c>
      <c r="I498" s="1159" t="s">
        <v>1886</v>
      </c>
      <c r="J498" s="1160"/>
    </row>
    <row r="499" spans="1:11">
      <c r="A499" s="1130">
        <v>2</v>
      </c>
      <c r="B499" s="1177" t="s">
        <v>23</v>
      </c>
      <c r="C499" s="1157" t="s">
        <v>1453</v>
      </c>
      <c r="D499" s="1166"/>
      <c r="E499" s="1206">
        <v>2002</v>
      </c>
      <c r="F499" s="1205" t="s">
        <v>1454</v>
      </c>
      <c r="G499" s="767" t="s">
        <v>1465</v>
      </c>
      <c r="I499" s="1159" t="s">
        <v>1891</v>
      </c>
      <c r="J499" s="1160"/>
    </row>
    <row r="500" spans="1:11">
      <c r="A500" s="1130">
        <v>3</v>
      </c>
      <c r="B500" s="1207" t="s">
        <v>27</v>
      </c>
      <c r="C500" s="1167" t="s">
        <v>1459</v>
      </c>
      <c r="D500" s="1166"/>
      <c r="E500" s="1194">
        <v>2003</v>
      </c>
      <c r="F500" s="1190" t="s">
        <v>1443</v>
      </c>
      <c r="G500" s="767" t="s">
        <v>1465</v>
      </c>
      <c r="I500" s="1159" t="s">
        <v>1892</v>
      </c>
      <c r="J500" s="1163"/>
    </row>
    <row r="501" spans="1:11">
      <c r="A501" s="1130">
        <v>4</v>
      </c>
      <c r="B501" s="1202" t="s">
        <v>25</v>
      </c>
      <c r="C501" s="1157" t="s">
        <v>1738</v>
      </c>
      <c r="D501" s="1204"/>
      <c r="E501" s="1206">
        <v>1997</v>
      </c>
      <c r="F501" s="27" t="s">
        <v>1464</v>
      </c>
      <c r="G501" s="767" t="s">
        <v>1449</v>
      </c>
      <c r="I501" s="1159" t="s">
        <v>1894</v>
      </c>
      <c r="J501" s="1160"/>
    </row>
    <row r="502" spans="1:11">
      <c r="A502" s="1130">
        <v>5</v>
      </c>
      <c r="B502" s="1177" t="s">
        <v>15</v>
      </c>
      <c r="C502" s="1205" t="s">
        <v>1455</v>
      </c>
      <c r="D502" s="1166"/>
      <c r="E502" s="1206">
        <v>2002</v>
      </c>
      <c r="F502" s="1205" t="s">
        <v>1452</v>
      </c>
      <c r="G502" s="767" t="s">
        <v>1442</v>
      </c>
      <c r="I502" s="1159" t="s">
        <v>1895</v>
      </c>
      <c r="J502" s="1160"/>
    </row>
    <row r="503" spans="1:11">
      <c r="A503" s="1130">
        <v>6</v>
      </c>
      <c r="B503" s="1207" t="s">
        <v>29</v>
      </c>
      <c r="C503" s="1205" t="s">
        <v>1348</v>
      </c>
      <c r="D503" s="1204"/>
      <c r="E503" s="1206">
        <v>2003</v>
      </c>
      <c r="F503" s="1205" t="s">
        <v>1431</v>
      </c>
      <c r="G503" s="767" t="s">
        <v>1447</v>
      </c>
      <c r="I503" s="1159" t="s">
        <v>1889</v>
      </c>
      <c r="J503" s="1160"/>
    </row>
    <row r="504" spans="1:11">
      <c r="A504" s="1130">
        <v>7</v>
      </c>
      <c r="B504" s="1207" t="s">
        <v>1837</v>
      </c>
      <c r="C504" s="1205" t="s">
        <v>1388</v>
      </c>
      <c r="D504" s="1204"/>
      <c r="E504" s="1206">
        <v>2002</v>
      </c>
      <c r="F504" s="1205" t="s">
        <v>1431</v>
      </c>
      <c r="G504" s="767" t="s">
        <v>1447</v>
      </c>
      <c r="I504" s="1159" t="s">
        <v>1887</v>
      </c>
      <c r="J504" s="1160"/>
    </row>
    <row r="505" spans="1:11">
      <c r="A505" s="1130">
        <v>8</v>
      </c>
      <c r="B505" s="1207" t="s">
        <v>13</v>
      </c>
      <c r="C505" s="1167" t="s">
        <v>1533</v>
      </c>
      <c r="D505" s="1166"/>
      <c r="E505" s="1194">
        <v>2001</v>
      </c>
      <c r="F505" s="1190" t="s">
        <v>1443</v>
      </c>
      <c r="G505" s="767" t="s">
        <v>1465</v>
      </c>
      <c r="I505" s="1159" t="s">
        <v>1885</v>
      </c>
      <c r="J505" s="1163"/>
    </row>
    <row r="506" spans="1:11">
      <c r="A506" s="1130">
        <v>9</v>
      </c>
      <c r="B506" s="1202" t="s">
        <v>27</v>
      </c>
      <c r="C506" s="1205" t="s">
        <v>1466</v>
      </c>
      <c r="D506" s="1204"/>
      <c r="E506" s="1206">
        <v>2001</v>
      </c>
      <c r="F506" s="1205" t="s">
        <v>1431</v>
      </c>
      <c r="G506" s="767" t="s">
        <v>1449</v>
      </c>
      <c r="I506" s="1159" t="s">
        <v>1884</v>
      </c>
      <c r="J506" s="1160"/>
    </row>
    <row r="508" spans="1:11">
      <c r="A508" s="1130"/>
      <c r="B508" s="1207"/>
      <c r="C508" s="524" t="s">
        <v>1838</v>
      </c>
      <c r="D508" s="542"/>
      <c r="E508" s="542"/>
      <c r="F508" s="542"/>
      <c r="G508" s="542"/>
      <c r="I508" s="1159"/>
      <c r="J508" s="1447"/>
      <c r="K508" s="1210"/>
    </row>
    <row r="509" spans="1:11" ht="18">
      <c r="A509" s="1130"/>
      <c r="B509" s="49"/>
      <c r="C509" s="1167"/>
      <c r="D509" s="1155"/>
      <c r="E509" s="1129"/>
      <c r="F509" s="1131"/>
      <c r="G509" s="542"/>
      <c r="I509" s="1159"/>
      <c r="J509" s="1441"/>
      <c r="K509" s="1185"/>
    </row>
    <row r="510" spans="1:11">
      <c r="A510" s="1130">
        <v>1</v>
      </c>
      <c r="B510" s="1207" t="s">
        <v>27</v>
      </c>
      <c r="C510" s="1205" t="s">
        <v>1347</v>
      </c>
      <c r="D510" s="1204"/>
      <c r="E510" s="1206">
        <v>2003</v>
      </c>
      <c r="F510" s="1205" t="s">
        <v>1430</v>
      </c>
      <c r="G510" s="767" t="s">
        <v>1447</v>
      </c>
      <c r="I510" s="1159" t="s">
        <v>1913</v>
      </c>
      <c r="J510" s="1159"/>
      <c r="K510" s="1441"/>
    </row>
    <row r="511" spans="1:11">
      <c r="A511" s="1130">
        <v>2</v>
      </c>
      <c r="B511" s="1184" t="s">
        <v>27</v>
      </c>
      <c r="C511" s="1181" t="s">
        <v>1479</v>
      </c>
      <c r="D511" s="1181"/>
      <c r="E511" s="1182">
        <v>2000</v>
      </c>
      <c r="F511" s="1181" t="s">
        <v>1477</v>
      </c>
      <c r="G511" s="1181" t="s">
        <v>1442</v>
      </c>
      <c r="I511" s="1159" t="s">
        <v>1905</v>
      </c>
      <c r="J511" s="1184"/>
      <c r="K511" s="1447"/>
    </row>
    <row r="512" spans="1:11">
      <c r="A512" s="1130">
        <v>3</v>
      </c>
      <c r="B512" s="1207" t="s">
        <v>27</v>
      </c>
      <c r="C512" s="1205" t="s">
        <v>1359</v>
      </c>
      <c r="D512" s="1204"/>
      <c r="E512" s="1206">
        <v>2003</v>
      </c>
      <c r="F512" s="1205" t="s">
        <v>1431</v>
      </c>
      <c r="G512" s="767" t="s">
        <v>1447</v>
      </c>
      <c r="I512" s="1159" t="s">
        <v>1916</v>
      </c>
      <c r="J512" s="1159"/>
      <c r="K512" s="1160"/>
    </row>
    <row r="513" spans="1:11">
      <c r="A513" s="1130">
        <v>4</v>
      </c>
      <c r="B513" s="1184" t="s">
        <v>27</v>
      </c>
      <c r="C513" s="1181" t="s">
        <v>1478</v>
      </c>
      <c r="D513" s="1181"/>
      <c r="E513" s="1182">
        <v>2001</v>
      </c>
      <c r="F513" s="1181" t="s">
        <v>1477</v>
      </c>
      <c r="G513" s="1181" t="s">
        <v>1442</v>
      </c>
      <c r="I513" s="1159" t="s">
        <v>1917</v>
      </c>
      <c r="J513" s="1184"/>
      <c r="K513" s="1160"/>
    </row>
    <row r="514" spans="1:11">
      <c r="A514" s="1130">
        <v>5</v>
      </c>
      <c r="B514" s="1207" t="s">
        <v>27</v>
      </c>
      <c r="C514" s="1205" t="s">
        <v>1423</v>
      </c>
      <c r="D514" s="1204"/>
      <c r="E514" s="1206">
        <v>2002</v>
      </c>
      <c r="F514" s="1205" t="s">
        <v>1431</v>
      </c>
      <c r="G514" s="767" t="s">
        <v>1447</v>
      </c>
      <c r="I514" s="1159" t="s">
        <v>1911</v>
      </c>
      <c r="J514" s="1159"/>
      <c r="K514" s="1203"/>
    </row>
    <row r="515" spans="1:11">
      <c r="A515" s="1130">
        <v>6</v>
      </c>
      <c r="B515" s="1207" t="s">
        <v>27</v>
      </c>
      <c r="C515" s="1205" t="s">
        <v>1487</v>
      </c>
      <c r="D515" s="1204"/>
      <c r="E515" s="1206">
        <v>2003</v>
      </c>
      <c r="F515" s="1205" t="s">
        <v>1438</v>
      </c>
      <c r="G515" s="1181" t="s">
        <v>1442</v>
      </c>
      <c r="I515" s="1159" t="s">
        <v>1906</v>
      </c>
      <c r="J515" s="1159"/>
      <c r="K515" s="1160"/>
    </row>
    <row r="516" spans="1:11">
      <c r="A516" s="1130">
        <v>7</v>
      </c>
      <c r="B516" s="1184" t="s">
        <v>27</v>
      </c>
      <c r="C516" s="1167" t="s">
        <v>1536</v>
      </c>
      <c r="D516" s="1157"/>
      <c r="E516" s="1194">
        <v>2003</v>
      </c>
      <c r="F516" s="1190" t="s">
        <v>1443</v>
      </c>
      <c r="G516" s="1181" t="s">
        <v>1442</v>
      </c>
      <c r="I516" s="1159" t="s">
        <v>1910</v>
      </c>
      <c r="J516" s="1163"/>
      <c r="K516" s="1160"/>
    </row>
    <row r="517" spans="1:11">
      <c r="A517" s="1130">
        <v>8</v>
      </c>
      <c r="B517" s="1177" t="s">
        <v>15</v>
      </c>
      <c r="C517" s="1205" t="s">
        <v>1476</v>
      </c>
      <c r="D517" s="1157"/>
      <c r="E517" s="1206">
        <v>2001</v>
      </c>
      <c r="F517" s="1205" t="s">
        <v>1452</v>
      </c>
      <c r="G517" s="767" t="s">
        <v>1465</v>
      </c>
      <c r="I517" s="1159" t="s">
        <v>1914</v>
      </c>
      <c r="J517" s="1160"/>
      <c r="K517" s="1137"/>
    </row>
    <row r="518" spans="1:11">
      <c r="A518" s="1130">
        <v>9</v>
      </c>
      <c r="B518" s="1207" t="s">
        <v>25</v>
      </c>
      <c r="C518" s="1205" t="s">
        <v>654</v>
      </c>
      <c r="D518" s="1204"/>
      <c r="E518" s="1206">
        <v>1999</v>
      </c>
      <c r="F518" s="1205" t="s">
        <v>1431</v>
      </c>
      <c r="G518" s="767" t="s">
        <v>1447</v>
      </c>
      <c r="I518" s="1159" t="s">
        <v>1912</v>
      </c>
      <c r="J518" s="1159"/>
      <c r="K518" s="1137"/>
    </row>
    <row r="519" spans="1:11">
      <c r="A519" s="1130">
        <v>10</v>
      </c>
      <c r="B519" s="1207" t="s">
        <v>27</v>
      </c>
      <c r="C519" s="1205" t="s">
        <v>1403</v>
      </c>
      <c r="D519" s="1204"/>
      <c r="E519" s="1206">
        <v>1998</v>
      </c>
      <c r="F519" s="1205" t="s">
        <v>1431</v>
      </c>
      <c r="G519" s="767" t="s">
        <v>1447</v>
      </c>
      <c r="I519" s="1159" t="s">
        <v>1908</v>
      </c>
      <c r="J519" s="1159"/>
      <c r="K519" s="1137"/>
    </row>
    <row r="520" spans="1:11">
      <c r="A520" s="1130">
        <v>11</v>
      </c>
      <c r="B520" s="1207" t="s">
        <v>27</v>
      </c>
      <c r="C520" s="1205" t="s">
        <v>1426</v>
      </c>
      <c r="D520" s="1204"/>
      <c r="E520" s="1206">
        <v>2000</v>
      </c>
      <c r="F520" s="1205" t="s">
        <v>1431</v>
      </c>
      <c r="G520" s="767" t="s">
        <v>1447</v>
      </c>
      <c r="I520" s="1159" t="s">
        <v>1902</v>
      </c>
      <c r="J520" s="1159"/>
      <c r="K520" s="1160"/>
    </row>
    <row r="521" spans="1:11">
      <c r="A521" s="1130">
        <v>12</v>
      </c>
      <c r="B521" s="1207" t="s">
        <v>29</v>
      </c>
      <c r="C521" s="1205" t="s">
        <v>1414</v>
      </c>
      <c r="D521" s="1204"/>
      <c r="E521" s="1206">
        <v>2001</v>
      </c>
      <c r="F521" s="1205" t="s">
        <v>1433</v>
      </c>
      <c r="G521" s="767" t="s">
        <v>1449</v>
      </c>
      <c r="I521" s="1159" t="s">
        <v>1899</v>
      </c>
      <c r="J521" s="1159"/>
      <c r="K521" s="1160"/>
    </row>
    <row r="522" spans="1:11">
      <c r="A522" s="1130">
        <v>13</v>
      </c>
      <c r="B522" s="1207" t="s">
        <v>1</v>
      </c>
      <c r="C522" s="1167" t="s">
        <v>1537</v>
      </c>
      <c r="D522" s="1157"/>
      <c r="E522" s="1194">
        <v>2003</v>
      </c>
      <c r="F522" s="1190" t="s">
        <v>1443</v>
      </c>
      <c r="G522" s="1181" t="s">
        <v>1442</v>
      </c>
      <c r="I522" s="1159" t="s">
        <v>1897</v>
      </c>
      <c r="J522" s="1163"/>
      <c r="K522" s="1160"/>
    </row>
    <row r="523" spans="1:11">
      <c r="A523" s="1130">
        <v>14</v>
      </c>
      <c r="B523" s="1207" t="s">
        <v>1</v>
      </c>
      <c r="C523" s="1205" t="s">
        <v>1432</v>
      </c>
      <c r="D523" s="1204"/>
      <c r="E523" s="1206">
        <v>2003</v>
      </c>
      <c r="F523" s="1205" t="s">
        <v>1431</v>
      </c>
      <c r="G523" s="767" t="s">
        <v>1447</v>
      </c>
      <c r="I523" s="1159" t="s">
        <v>1900</v>
      </c>
      <c r="J523" s="1159"/>
      <c r="K523" s="1160"/>
    </row>
    <row r="525" spans="1:11">
      <c r="A525" s="1130"/>
      <c r="B525" s="1207"/>
      <c r="C525" s="524" t="s">
        <v>1839</v>
      </c>
      <c r="D525" s="542"/>
      <c r="E525" s="542"/>
      <c r="F525" s="542"/>
      <c r="G525" s="542"/>
      <c r="I525" s="1159"/>
      <c r="J525" s="766"/>
      <c r="K525" s="1160"/>
    </row>
    <row r="526" spans="1:11" ht="14.25" customHeight="1">
      <c r="A526" s="1130"/>
      <c r="B526" s="1207"/>
      <c r="C526" s="1205"/>
      <c r="D526" s="1204"/>
      <c r="E526" s="1129"/>
      <c r="F526" s="1205"/>
      <c r="G526" s="767"/>
      <c r="I526" s="1159"/>
      <c r="J526" s="766"/>
      <c r="K526" s="1160"/>
    </row>
    <row r="527" spans="1:11">
      <c r="A527" s="1130">
        <v>1</v>
      </c>
      <c r="B527" s="1202" t="s">
        <v>27</v>
      </c>
      <c r="C527" s="1205" t="s">
        <v>1349</v>
      </c>
      <c r="D527" s="1204"/>
      <c r="E527" s="1206">
        <v>2003</v>
      </c>
      <c r="F527" s="1205" t="s">
        <v>1431</v>
      </c>
      <c r="G527" s="767" t="s">
        <v>1447</v>
      </c>
      <c r="I527" s="1159" t="s">
        <v>1945</v>
      </c>
      <c r="J527" s="1159"/>
      <c r="K527" s="538"/>
    </row>
    <row r="528" spans="1:11">
      <c r="A528" s="1130">
        <v>2</v>
      </c>
      <c r="B528" s="1207" t="s">
        <v>23</v>
      </c>
      <c r="C528" s="1169" t="s">
        <v>1380</v>
      </c>
      <c r="D528" s="1189"/>
      <c r="E528" s="1206">
        <v>1995</v>
      </c>
      <c r="F528" s="1205" t="s">
        <v>1431</v>
      </c>
      <c r="G528" s="767" t="s">
        <v>1449</v>
      </c>
      <c r="I528" s="1159" t="s">
        <v>1943</v>
      </c>
      <c r="J528" s="1159"/>
      <c r="K528" s="538"/>
    </row>
    <row r="529" spans="1:11">
      <c r="A529" s="1130">
        <v>3</v>
      </c>
      <c r="B529" s="1207" t="s">
        <v>27</v>
      </c>
      <c r="C529" s="1205" t="s">
        <v>1408</v>
      </c>
      <c r="D529" s="1204"/>
      <c r="E529" s="1206">
        <v>2001</v>
      </c>
      <c r="F529" s="1205" t="s">
        <v>1431</v>
      </c>
      <c r="G529" s="767" t="s">
        <v>1447</v>
      </c>
      <c r="I529" s="1159" t="s">
        <v>1946</v>
      </c>
      <c r="J529" s="1159"/>
      <c r="K529" s="1209"/>
    </row>
    <row r="530" spans="1:11">
      <c r="A530" s="1130">
        <v>4</v>
      </c>
      <c r="B530" s="1207" t="s">
        <v>29</v>
      </c>
      <c r="C530" s="1205" t="s">
        <v>1496</v>
      </c>
      <c r="D530" s="1204"/>
      <c r="E530" s="1206">
        <v>2001</v>
      </c>
      <c r="F530" s="1205" t="s">
        <v>1431</v>
      </c>
      <c r="G530" s="767" t="s">
        <v>1447</v>
      </c>
      <c r="I530" s="1159" t="s">
        <v>1942</v>
      </c>
      <c r="J530" s="1159"/>
      <c r="K530" s="1203"/>
    </row>
    <row r="531" spans="1:11">
      <c r="A531" s="1130">
        <v>5</v>
      </c>
      <c r="B531" s="1207" t="s">
        <v>27</v>
      </c>
      <c r="C531" s="1205" t="s">
        <v>1374</v>
      </c>
      <c r="D531" s="1204"/>
      <c r="E531" s="1206">
        <v>2003</v>
      </c>
      <c r="F531" s="1205" t="s">
        <v>1431</v>
      </c>
      <c r="G531" s="767" t="s">
        <v>1447</v>
      </c>
      <c r="I531" s="1159" t="s">
        <v>1890</v>
      </c>
      <c r="J531" s="1159"/>
      <c r="K531" s="1203"/>
    </row>
    <row r="532" spans="1:11">
      <c r="A532" s="1130">
        <v>6</v>
      </c>
      <c r="B532" s="1207" t="s">
        <v>27</v>
      </c>
      <c r="C532" s="1205" t="s">
        <v>1417</v>
      </c>
      <c r="D532" s="1204"/>
      <c r="E532" s="1206">
        <v>2003</v>
      </c>
      <c r="F532" s="1205" t="s">
        <v>1433</v>
      </c>
      <c r="G532" s="767" t="s">
        <v>1447</v>
      </c>
      <c r="I532" s="1159" t="s">
        <v>1938</v>
      </c>
      <c r="J532" s="1159"/>
      <c r="K532" s="1203"/>
    </row>
    <row r="533" spans="1:11">
      <c r="A533" s="1130">
        <v>7</v>
      </c>
      <c r="B533" s="1207" t="s">
        <v>29</v>
      </c>
      <c r="C533" s="1205" t="s">
        <v>1385</v>
      </c>
      <c r="D533" s="1204"/>
      <c r="E533" s="1206">
        <v>2003</v>
      </c>
      <c r="F533" s="1205" t="s">
        <v>1538</v>
      </c>
      <c r="G533" s="767" t="s">
        <v>1449</v>
      </c>
      <c r="I533" s="1159" t="s">
        <v>1928</v>
      </c>
      <c r="J533" s="1159"/>
      <c r="K533" s="538"/>
    </row>
    <row r="534" spans="1:11">
      <c r="A534" s="1130">
        <v>8</v>
      </c>
      <c r="B534" s="1207" t="s">
        <v>13</v>
      </c>
      <c r="C534" s="1205" t="s">
        <v>1420</v>
      </c>
      <c r="D534" s="1204"/>
      <c r="E534" s="1206">
        <v>2002</v>
      </c>
      <c r="F534" s="1205" t="s">
        <v>1433</v>
      </c>
      <c r="G534" s="767" t="s">
        <v>1447</v>
      </c>
      <c r="I534" s="1159" t="s">
        <v>1927</v>
      </c>
      <c r="J534" s="1159"/>
      <c r="K534" s="1203"/>
    </row>
    <row r="535" spans="1:11">
      <c r="A535" s="1130">
        <v>9</v>
      </c>
      <c r="B535" s="1207" t="s">
        <v>1</v>
      </c>
      <c r="C535" s="1167" t="s">
        <v>1509</v>
      </c>
      <c r="D535" s="1166"/>
      <c r="E535" s="1194">
        <v>2000</v>
      </c>
      <c r="F535" s="1190" t="s">
        <v>1443</v>
      </c>
      <c r="G535" s="767" t="s">
        <v>1442</v>
      </c>
      <c r="I535" s="1159" t="s">
        <v>1941</v>
      </c>
      <c r="J535" s="1163"/>
      <c r="K535" s="1160"/>
    </row>
    <row r="536" spans="1:11">
      <c r="A536" s="1130">
        <v>10</v>
      </c>
      <c r="B536" s="1207" t="s">
        <v>1</v>
      </c>
      <c r="C536" s="1205" t="s">
        <v>1497</v>
      </c>
      <c r="D536" s="1204"/>
      <c r="E536" s="1206">
        <v>2002</v>
      </c>
      <c r="F536" s="1205" t="s">
        <v>1431</v>
      </c>
      <c r="G536" s="767" t="s">
        <v>1447</v>
      </c>
      <c r="I536" s="1159" t="s">
        <v>1931</v>
      </c>
      <c r="J536" s="1159"/>
      <c r="K536" s="1160"/>
    </row>
    <row r="537" spans="1:11">
      <c r="A537" s="1130">
        <v>11</v>
      </c>
      <c r="B537" s="1207" t="s">
        <v>1</v>
      </c>
      <c r="C537" s="1205" t="s">
        <v>1500</v>
      </c>
      <c r="D537" s="1204"/>
      <c r="E537" s="1206">
        <v>2003</v>
      </c>
      <c r="F537" s="1205" t="s">
        <v>1431</v>
      </c>
      <c r="G537" s="767" t="s">
        <v>1447</v>
      </c>
      <c r="I537" s="1159" t="s">
        <v>1918</v>
      </c>
      <c r="J537" s="1160"/>
      <c r="K537" s="1159"/>
    </row>
    <row r="538" spans="1:11">
      <c r="A538" s="1130">
        <v>12</v>
      </c>
      <c r="B538" s="1158" t="s">
        <v>29</v>
      </c>
      <c r="C538" s="1154" t="s">
        <v>1510</v>
      </c>
      <c r="D538" s="1204"/>
      <c r="E538" s="1188">
        <v>2003</v>
      </c>
      <c r="F538" s="1205" t="s">
        <v>1511</v>
      </c>
      <c r="G538" s="767" t="s">
        <v>1449</v>
      </c>
      <c r="I538" s="1159" t="s">
        <v>1936</v>
      </c>
      <c r="J538" s="1162"/>
      <c r="K538" s="1210"/>
    </row>
    <row r="539" spans="1:11">
      <c r="A539" s="1130">
        <v>13</v>
      </c>
      <c r="B539" s="1202" t="s">
        <v>29</v>
      </c>
      <c r="C539" s="1205" t="s">
        <v>1503</v>
      </c>
      <c r="D539" s="1204"/>
      <c r="E539" s="1206">
        <v>2002</v>
      </c>
      <c r="F539" s="17" t="s">
        <v>1502</v>
      </c>
      <c r="G539" s="767" t="s">
        <v>1442</v>
      </c>
      <c r="I539" s="1159" t="s">
        <v>1926</v>
      </c>
      <c r="J539" s="1159"/>
      <c r="K539" s="1208"/>
    </row>
    <row r="540" spans="1:11">
      <c r="A540" s="1130">
        <v>14</v>
      </c>
      <c r="B540" s="1207" t="s">
        <v>13</v>
      </c>
      <c r="C540" s="1205" t="s">
        <v>1499</v>
      </c>
      <c r="D540" s="1204"/>
      <c r="E540" s="1206">
        <v>2003</v>
      </c>
      <c r="F540" s="1205" t="s">
        <v>1431</v>
      </c>
      <c r="G540" s="767" t="s">
        <v>1447</v>
      </c>
      <c r="I540" s="1159" t="s">
        <v>1920</v>
      </c>
      <c r="J540" s="1159"/>
      <c r="K540" s="538"/>
    </row>
    <row r="541" spans="1:11">
      <c r="A541" s="1130">
        <v>15</v>
      </c>
      <c r="B541" s="1207" t="s">
        <v>29</v>
      </c>
      <c r="C541" s="1205" t="s">
        <v>1504</v>
      </c>
      <c r="D541" s="1204"/>
      <c r="E541" s="1206">
        <v>1997</v>
      </c>
      <c r="F541" s="1205" t="s">
        <v>1502</v>
      </c>
      <c r="G541" s="767" t="s">
        <v>1442</v>
      </c>
      <c r="I541" s="1159" t="s">
        <v>1930</v>
      </c>
      <c r="J541" s="1159"/>
      <c r="K541" s="1160"/>
    </row>
    <row r="542" spans="1:11">
      <c r="A542" s="1130"/>
      <c r="B542" s="1207" t="s">
        <v>27</v>
      </c>
      <c r="C542" s="1205" t="s">
        <v>1501</v>
      </c>
      <c r="D542" s="1204"/>
      <c r="E542" s="1206">
        <v>1998</v>
      </c>
      <c r="F542" s="1205" t="s">
        <v>1431</v>
      </c>
      <c r="G542" s="767" t="s">
        <v>1447</v>
      </c>
      <c r="I542" s="1159" t="s">
        <v>1622</v>
      </c>
      <c r="J542" s="1159"/>
      <c r="K542" s="1159"/>
    </row>
    <row r="544" spans="1:11">
      <c r="A544" s="1130"/>
      <c r="B544" s="1168"/>
      <c r="C544" s="524" t="s">
        <v>1845</v>
      </c>
      <c r="D544" s="525"/>
      <c r="E544" s="526"/>
      <c r="F544" s="524"/>
      <c r="G544" s="524"/>
      <c r="I544" s="1159"/>
      <c r="J544" s="766"/>
      <c r="K544" s="1159"/>
    </row>
    <row r="545" spans="1:11">
      <c r="A545" s="1130"/>
      <c r="B545" s="1207"/>
      <c r="C545" s="1205"/>
      <c r="D545" s="1204"/>
      <c r="E545" s="1206"/>
      <c r="F545" s="1205"/>
      <c r="G545" s="767"/>
      <c r="I545" s="1159"/>
      <c r="J545" s="1163"/>
      <c r="K545" s="1163"/>
    </row>
    <row r="546" spans="1:11">
      <c r="A546" s="1130">
        <v>1</v>
      </c>
      <c r="B546" s="1207" t="s">
        <v>27</v>
      </c>
      <c r="C546" s="1205" t="s">
        <v>1541</v>
      </c>
      <c r="D546" s="1204"/>
      <c r="E546" s="1206">
        <v>2003</v>
      </c>
      <c r="F546" s="1330" t="s">
        <v>1542</v>
      </c>
      <c r="G546" s="767" t="s">
        <v>1442</v>
      </c>
      <c r="I546" s="1159" t="s">
        <v>1950</v>
      </c>
      <c r="J546" s="1159"/>
      <c r="K546" s="1159"/>
    </row>
    <row r="547" spans="1:11">
      <c r="A547" s="1130">
        <v>2</v>
      </c>
      <c r="B547" s="1207" t="s">
        <v>27</v>
      </c>
      <c r="C547" s="1205" t="s">
        <v>595</v>
      </c>
      <c r="D547" s="1204"/>
      <c r="E547" s="1206">
        <v>2000</v>
      </c>
      <c r="F547" s="1330" t="s">
        <v>1431</v>
      </c>
      <c r="G547" s="766" t="s">
        <v>1447</v>
      </c>
      <c r="I547" s="1159" t="s">
        <v>1948</v>
      </c>
      <c r="J547" s="1160"/>
      <c r="K547" s="1159"/>
    </row>
    <row r="548" spans="1:11">
      <c r="A548" s="1130">
        <v>3</v>
      </c>
      <c r="B548" s="1207" t="s">
        <v>25</v>
      </c>
      <c r="C548" s="1205" t="s">
        <v>1486</v>
      </c>
      <c r="D548" s="1204"/>
      <c r="E548" s="1206">
        <v>1997</v>
      </c>
      <c r="F548" s="1330" t="s">
        <v>1463</v>
      </c>
      <c r="G548" s="1448" t="s">
        <v>1442</v>
      </c>
      <c r="I548" s="1159" t="s">
        <v>1949</v>
      </c>
      <c r="J548" s="1160"/>
      <c r="K548" s="1210"/>
    </row>
    <row r="549" spans="1:11">
      <c r="A549" s="1130">
        <v>4</v>
      </c>
      <c r="B549" s="1207" t="s">
        <v>29</v>
      </c>
      <c r="C549" s="1167" t="s">
        <v>1483</v>
      </c>
      <c r="D549" s="1166"/>
      <c r="E549" s="1194">
        <v>2003</v>
      </c>
      <c r="F549" s="1313" t="s">
        <v>1443</v>
      </c>
      <c r="G549" s="1448" t="s">
        <v>1442</v>
      </c>
      <c r="I549" s="1159" t="s">
        <v>1952</v>
      </c>
      <c r="J549" s="1163"/>
      <c r="K549" s="1210"/>
    </row>
    <row r="550" spans="1:11">
      <c r="A550" s="1130">
        <v>5</v>
      </c>
      <c r="B550" s="1207" t="s">
        <v>1</v>
      </c>
      <c r="C550" s="1205" t="s">
        <v>1435</v>
      </c>
      <c r="D550" s="1204"/>
      <c r="E550" s="1206">
        <v>2003</v>
      </c>
      <c r="F550" s="1330" t="s">
        <v>1433</v>
      </c>
      <c r="G550" s="766" t="s">
        <v>1447</v>
      </c>
      <c r="I550" s="1159" t="s">
        <v>1947</v>
      </c>
      <c r="J550" s="1160"/>
      <c r="K550" s="1210"/>
    </row>
    <row r="551" spans="1:11">
      <c r="A551" s="1130">
        <v>6</v>
      </c>
      <c r="B551" s="1207" t="s">
        <v>1</v>
      </c>
      <c r="C551" s="1205" t="s">
        <v>1364</v>
      </c>
      <c r="D551" s="1204"/>
      <c r="E551" s="1206">
        <v>2000</v>
      </c>
      <c r="F551" s="1330" t="s">
        <v>1433</v>
      </c>
      <c r="G551" s="766" t="s">
        <v>1447</v>
      </c>
      <c r="I551" s="1159" t="s">
        <v>1954</v>
      </c>
      <c r="J551" s="1160"/>
      <c r="K551" s="1210"/>
    </row>
    <row r="552" spans="1:11">
      <c r="A552" s="1130">
        <v>7</v>
      </c>
      <c r="B552" s="1207" t="s">
        <v>1</v>
      </c>
      <c r="C552" s="1167" t="s">
        <v>1436</v>
      </c>
      <c r="D552" s="1166"/>
      <c r="E552" s="1194">
        <v>2003</v>
      </c>
      <c r="F552" s="1313" t="s">
        <v>1443</v>
      </c>
      <c r="G552" s="1448" t="s">
        <v>1442</v>
      </c>
      <c r="I552" s="1159" t="s">
        <v>1953</v>
      </c>
      <c r="J552" s="1163"/>
      <c r="K552" s="1210"/>
    </row>
    <row r="553" spans="1:11">
      <c r="A553" s="1130"/>
    </row>
    <row r="554" spans="1:11">
      <c r="A554" s="1130"/>
      <c r="B554" s="1207"/>
      <c r="C554" s="524" t="s">
        <v>1846</v>
      </c>
      <c r="D554" s="525"/>
      <c r="E554" s="526"/>
      <c r="F554" s="524"/>
      <c r="G554" s="524"/>
      <c r="I554" s="1159"/>
      <c r="J554" s="1159"/>
      <c r="K554" s="1210"/>
    </row>
    <row r="555" spans="1:11">
      <c r="A555" s="1130"/>
      <c r="B555" s="1168"/>
      <c r="C555" s="1205"/>
      <c r="D555" s="1204"/>
      <c r="E555" s="1206"/>
      <c r="F555" s="1205"/>
      <c r="G555" s="767"/>
      <c r="I555" s="1159"/>
      <c r="J555" s="1159"/>
      <c r="K555" s="1210"/>
    </row>
    <row r="556" spans="1:11">
      <c r="A556" s="1130">
        <v>1</v>
      </c>
      <c r="B556" s="1207" t="s">
        <v>27</v>
      </c>
      <c r="C556" s="1205" t="s">
        <v>1388</v>
      </c>
      <c r="D556" s="1204"/>
      <c r="E556" s="1206">
        <v>2002</v>
      </c>
      <c r="F556" s="1330" t="s">
        <v>1431</v>
      </c>
      <c r="G556" s="766" t="s">
        <v>1447</v>
      </c>
      <c r="I556" s="1159" t="s">
        <v>1959</v>
      </c>
      <c r="J556" s="1209"/>
      <c r="K556" s="1210"/>
    </row>
    <row r="557" spans="1:11">
      <c r="A557" s="1130">
        <v>2</v>
      </c>
      <c r="B557" s="1207" t="s">
        <v>29</v>
      </c>
      <c r="C557" s="1167" t="s">
        <v>1740</v>
      </c>
      <c r="D557" s="1155"/>
      <c r="E557" s="1194">
        <v>1999</v>
      </c>
      <c r="F557" s="1313" t="s">
        <v>1443</v>
      </c>
      <c r="G557" s="1448" t="s">
        <v>1442</v>
      </c>
      <c r="I557" s="1159" t="s">
        <v>1956</v>
      </c>
      <c r="J557" s="1163"/>
      <c r="K557" s="1210"/>
    </row>
    <row r="558" spans="1:11">
      <c r="A558" s="1130">
        <v>3</v>
      </c>
      <c r="B558" s="1207" t="s">
        <v>1</v>
      </c>
      <c r="C558" s="1167" t="s">
        <v>1509</v>
      </c>
      <c r="D558" s="1155"/>
      <c r="E558" s="1194">
        <v>2000</v>
      </c>
      <c r="F558" s="1313" t="s">
        <v>1443</v>
      </c>
      <c r="G558" s="1448" t="s">
        <v>1442</v>
      </c>
      <c r="I558" s="1159" t="s">
        <v>1961</v>
      </c>
      <c r="J558" s="1163"/>
      <c r="K558" s="1210"/>
    </row>
    <row r="559" spans="1:11">
      <c r="A559" s="1130">
        <v>4</v>
      </c>
      <c r="B559" s="1207" t="s">
        <v>29</v>
      </c>
      <c r="C559" s="287" t="s">
        <v>1391</v>
      </c>
      <c r="D559" s="1193"/>
      <c r="E559" s="1206">
        <v>2003</v>
      </c>
      <c r="F559" s="1330" t="s">
        <v>1433</v>
      </c>
      <c r="G559" s="766" t="s">
        <v>1447</v>
      </c>
      <c r="I559" s="1159" t="s">
        <v>1962</v>
      </c>
      <c r="J559" s="1209"/>
      <c r="K559" s="1210"/>
    </row>
    <row r="560" spans="1:11">
      <c r="A560" s="1130">
        <v>5</v>
      </c>
      <c r="B560" s="1207" t="s">
        <v>13</v>
      </c>
      <c r="C560" s="1167" t="s">
        <v>1533</v>
      </c>
      <c r="D560" s="1155"/>
      <c r="E560" s="1194">
        <v>2001</v>
      </c>
      <c r="F560" s="1313" t="s">
        <v>1443</v>
      </c>
      <c r="G560" s="1448" t="s">
        <v>1442</v>
      </c>
      <c r="I560" s="1159" t="s">
        <v>1955</v>
      </c>
      <c r="J560" s="1163"/>
      <c r="K560" s="1210"/>
    </row>
    <row r="562" spans="1:11">
      <c r="A562" s="1485" t="s">
        <v>1850</v>
      </c>
      <c r="B562" s="1486"/>
      <c r="C562" s="1487"/>
      <c r="D562" s="1488"/>
      <c r="E562" s="1489"/>
      <c r="F562" s="1490"/>
      <c r="G562" s="1491"/>
      <c r="H562" s="1491"/>
      <c r="I562" s="1159"/>
      <c r="J562" s="1210"/>
      <c r="K562" s="1159"/>
    </row>
    <row r="564" spans="1:11">
      <c r="A564" s="1335">
        <v>1</v>
      </c>
      <c r="B564" s="1438"/>
      <c r="C564" s="1476"/>
      <c r="D564" s="1476"/>
      <c r="E564" s="1496"/>
      <c r="F564" s="1440" t="s">
        <v>1854</v>
      </c>
      <c r="G564" s="1478"/>
      <c r="H564" s="1342"/>
      <c r="I564" s="1424" t="s">
        <v>1963</v>
      </c>
      <c r="J564" s="1476"/>
      <c r="K564" s="90"/>
    </row>
    <row r="565" spans="1:11">
      <c r="A565" s="1130"/>
      <c r="B565" s="1453" t="s">
        <v>25</v>
      </c>
      <c r="C565" s="1455" t="s">
        <v>654</v>
      </c>
      <c r="D565" s="1455"/>
      <c r="E565" s="1237">
        <v>1999</v>
      </c>
      <c r="F565" s="1455"/>
      <c r="G565" s="1457"/>
      <c r="I565" s="1159">
        <v>49.38</v>
      </c>
      <c r="J565" s="751"/>
      <c r="K565" s="90"/>
    </row>
    <row r="566" spans="1:11">
      <c r="A566" s="1130"/>
      <c r="B566" s="1453" t="s">
        <v>29</v>
      </c>
      <c r="C566" s="1455" t="s">
        <v>1496</v>
      </c>
      <c r="D566" s="1185"/>
      <c r="E566" s="1237">
        <v>2001</v>
      </c>
      <c r="F566" s="1457"/>
      <c r="G566" s="1457"/>
      <c r="I566" s="1159"/>
      <c r="J566" s="751"/>
      <c r="K566" s="90"/>
    </row>
    <row r="567" spans="1:11">
      <c r="A567" s="1130"/>
      <c r="B567" s="1453" t="s">
        <v>25</v>
      </c>
      <c r="C567" s="1455" t="s">
        <v>580</v>
      </c>
      <c r="D567" s="1185"/>
      <c r="E567" s="1237">
        <v>1998</v>
      </c>
      <c r="F567" s="1457"/>
      <c r="G567" s="1457"/>
      <c r="I567" s="1159"/>
      <c r="J567" s="751"/>
      <c r="K567" s="90"/>
    </row>
    <row r="568" spans="1:11">
      <c r="A568" s="1130"/>
      <c r="B568" s="1453" t="s">
        <v>23</v>
      </c>
      <c r="C568" s="1455" t="s">
        <v>1380</v>
      </c>
      <c r="D568" s="1185"/>
      <c r="E568" s="1237">
        <v>1995</v>
      </c>
      <c r="F568" s="1457"/>
      <c r="G568" s="1457"/>
      <c r="I568" s="1159"/>
      <c r="J568" s="751"/>
      <c r="K568" s="1239"/>
    </row>
    <row r="570" spans="1:11">
      <c r="A570" s="1335">
        <v>2</v>
      </c>
      <c r="B570" s="1385"/>
      <c r="C570" s="1378"/>
      <c r="D570" s="1379"/>
      <c r="E570" s="1380"/>
      <c r="F570" s="1385" t="s">
        <v>1855</v>
      </c>
      <c r="G570" s="1478"/>
      <c r="H570" s="1342"/>
      <c r="I570" s="1424" t="s">
        <v>1964</v>
      </c>
      <c r="J570" s="1384"/>
      <c r="K570" s="90"/>
    </row>
    <row r="571" spans="1:11">
      <c r="A571" s="1130"/>
      <c r="B571" s="1236" t="s">
        <v>27</v>
      </c>
      <c r="C571" s="1252" t="s">
        <v>1501</v>
      </c>
      <c r="D571" s="1252"/>
      <c r="E571" s="1237">
        <v>1998</v>
      </c>
      <c r="F571" s="287"/>
      <c r="G571" s="1455"/>
      <c r="I571" s="1159">
        <v>46.86</v>
      </c>
      <c r="J571" s="539"/>
      <c r="K571" s="1465"/>
    </row>
    <row r="572" spans="1:11">
      <c r="A572" s="1130"/>
      <c r="B572" s="1465" t="s">
        <v>27</v>
      </c>
      <c r="C572" s="287" t="s">
        <v>1403</v>
      </c>
      <c r="D572" s="1185"/>
      <c r="E572" s="1237">
        <v>1998</v>
      </c>
      <c r="F572" s="1462"/>
      <c r="G572" s="1457"/>
      <c r="I572" s="1159"/>
      <c r="J572" s="1239"/>
      <c r="K572" s="90"/>
    </row>
    <row r="573" spans="1:11">
      <c r="A573" s="1130"/>
      <c r="B573" s="1236" t="s">
        <v>27</v>
      </c>
      <c r="C573" s="1462" t="s">
        <v>1426</v>
      </c>
      <c r="D573" s="1462"/>
      <c r="E573" s="1463">
        <v>2000</v>
      </c>
      <c r="F573" s="1238"/>
      <c r="G573" s="1455"/>
      <c r="I573" s="1159"/>
      <c r="J573" s="539"/>
      <c r="K573" s="1465"/>
    </row>
    <row r="574" spans="1:11">
      <c r="A574" s="1130"/>
      <c r="B574" s="1465" t="s">
        <v>27</v>
      </c>
      <c r="C574" s="1543" t="s">
        <v>1374</v>
      </c>
      <c r="D574" s="1543"/>
      <c r="E574" s="1237">
        <v>2003</v>
      </c>
      <c r="F574" s="1462"/>
      <c r="G574" s="1455"/>
      <c r="I574" s="1159"/>
      <c r="J574" s="539"/>
      <c r="K574" s="90"/>
    </row>
    <row r="576" spans="1:11">
      <c r="A576" s="1335">
        <v>3</v>
      </c>
      <c r="B576" s="1497"/>
      <c r="C576" s="1378"/>
      <c r="D576" s="1379"/>
      <c r="E576" s="1380"/>
      <c r="F576" s="1377" t="s">
        <v>1443</v>
      </c>
      <c r="G576" s="1478"/>
      <c r="H576" s="1342"/>
      <c r="I576" s="1424" t="s">
        <v>1965</v>
      </c>
      <c r="J576" s="1384"/>
      <c r="K576" s="90"/>
    </row>
    <row r="577" spans="1:11">
      <c r="A577" s="1130"/>
      <c r="B577" s="1461" t="s">
        <v>27</v>
      </c>
      <c r="C577" s="287" t="s">
        <v>1550</v>
      </c>
      <c r="D577" s="1185"/>
      <c r="E577" s="1237">
        <v>2003</v>
      </c>
      <c r="F577" s="287"/>
      <c r="G577" s="1455"/>
      <c r="I577" s="1159">
        <v>46</v>
      </c>
      <c r="J577" s="539"/>
      <c r="K577" s="90"/>
    </row>
    <row r="578" spans="1:11">
      <c r="A578" s="1130"/>
      <c r="B578" s="1236" t="s">
        <v>1</v>
      </c>
      <c r="C578" s="287" t="s">
        <v>1851</v>
      </c>
      <c r="D578" s="1185"/>
      <c r="E578" s="1237">
        <v>2002</v>
      </c>
      <c r="F578" s="287"/>
      <c r="G578" s="1455"/>
      <c r="I578" s="1159"/>
      <c r="J578" s="539"/>
      <c r="K578" s="90"/>
    </row>
    <row r="579" spans="1:11">
      <c r="A579" s="1130"/>
      <c r="B579" s="1142" t="s">
        <v>29</v>
      </c>
      <c r="C579" s="287" t="s">
        <v>1852</v>
      </c>
      <c r="D579" s="1185"/>
      <c r="E579" s="1237">
        <v>2003</v>
      </c>
      <c r="F579" s="287"/>
      <c r="G579" s="1455"/>
      <c r="I579" s="1159"/>
      <c r="J579" s="539"/>
      <c r="K579" s="90"/>
    </row>
    <row r="580" spans="1:11">
      <c r="A580" s="1130"/>
      <c r="B580" s="1461" t="s">
        <v>29</v>
      </c>
      <c r="C580" s="287" t="s">
        <v>1853</v>
      </c>
      <c r="D580" s="1185"/>
      <c r="E580" s="1237">
        <v>2000</v>
      </c>
      <c r="F580" s="287"/>
      <c r="G580" s="1238"/>
      <c r="I580" s="1159"/>
      <c r="J580" s="539"/>
      <c r="K580" s="539"/>
    </row>
    <row r="581" spans="1:11">
      <c r="A581" s="1130"/>
      <c r="B581" s="586"/>
      <c r="C581" s="287"/>
      <c r="D581" s="1185"/>
      <c r="E581" s="1237"/>
      <c r="F581" s="1238"/>
      <c r="G581" s="1252"/>
      <c r="I581" s="1159"/>
      <c r="J581" s="539"/>
      <c r="K581" s="539"/>
    </row>
  </sheetData>
  <sortState xmlns:xlrd2="http://schemas.microsoft.com/office/spreadsheetml/2017/richdata2" ref="A556:J560">
    <sortCondition ref="I556:I560" customList="по возрастанию"/>
  </sortState>
  <mergeCells count="36">
    <mergeCell ref="C574:D574"/>
    <mergeCell ref="A55:K55"/>
    <mergeCell ref="A1:K1"/>
    <mergeCell ref="A2:K2"/>
    <mergeCell ref="A3:K3"/>
    <mergeCell ref="A22:K22"/>
    <mergeCell ref="A23:K23"/>
    <mergeCell ref="A25:K25"/>
    <mergeCell ref="C47:H48"/>
    <mergeCell ref="C51:K51"/>
    <mergeCell ref="C52:K52"/>
    <mergeCell ref="C53:K53"/>
    <mergeCell ref="A54:K54"/>
    <mergeCell ref="A100:K100"/>
    <mergeCell ref="A56:C56"/>
    <mergeCell ref="F56:J56"/>
    <mergeCell ref="A57:K57"/>
    <mergeCell ref="B58:D58"/>
    <mergeCell ref="E58:G58"/>
    <mergeCell ref="I58:K58"/>
    <mergeCell ref="B95:D95"/>
    <mergeCell ref="C96:K96"/>
    <mergeCell ref="C97:K97"/>
    <mergeCell ref="C98:K98"/>
    <mergeCell ref="A99:K99"/>
    <mergeCell ref="K104:K105"/>
    <mergeCell ref="F101:I101"/>
    <mergeCell ref="A102:K102"/>
    <mergeCell ref="A103:K103"/>
    <mergeCell ref="A104:A105"/>
    <mergeCell ref="B104:B105"/>
    <mergeCell ref="C104:D105"/>
    <mergeCell ref="E104:E105"/>
    <mergeCell ref="F104:G105"/>
    <mergeCell ref="H104:I104"/>
    <mergeCell ref="J104:J105"/>
  </mergeCells>
  <conditionalFormatting sqref="C128">
    <cfRule type="duplicateValues" dxfId="268" priority="275"/>
  </conditionalFormatting>
  <conditionalFormatting sqref="C123:C126 C107:C108">
    <cfRule type="duplicateValues" dxfId="267" priority="274"/>
  </conditionalFormatting>
  <conditionalFormatting sqref="C166">
    <cfRule type="duplicateValues" dxfId="266" priority="273"/>
  </conditionalFormatting>
  <conditionalFormatting sqref="C200">
    <cfRule type="duplicateValues" dxfId="265" priority="271"/>
  </conditionalFormatting>
  <conditionalFormatting sqref="D137 C136">
    <cfRule type="duplicateValues" dxfId="264" priority="265"/>
  </conditionalFormatting>
  <conditionalFormatting sqref="C141:C143">
    <cfRule type="duplicateValues" dxfId="263" priority="264"/>
  </conditionalFormatting>
  <conditionalFormatting sqref="C157">
    <cfRule type="duplicateValues" dxfId="262" priority="263"/>
  </conditionalFormatting>
  <conditionalFormatting sqref="H197 K172 K188 K182 H168:H169 H157 K157 H154:H155 K154:K155 H141:H143 H123 K123">
    <cfRule type="expression" dxfId="261" priority="260">
      <formula>IF(ISNUMBER(H123),FALSE,IF(ISBLANK(H123),FALSE,TRUE))</formula>
    </cfRule>
    <cfRule type="expression" dxfId="260" priority="261">
      <formula>IF(INT(H123/10000)&gt;23,TRUE,IF(INT(MOD(H123,10000)/100)&gt;59.99,TRUE,IF(MOD(H123,100)&gt;59.99,TRUE,FALSE)))</formula>
    </cfRule>
  </conditionalFormatting>
  <conditionalFormatting sqref="A174:A175">
    <cfRule type="expression" priority="259">
      <formula>IF(MOD(A202,10)&lt;10,MOD(A202,10),IF(A202/10&gt;8,MOD(A202,80),IF(A202/10&gt;7,MOD(A202,70),IF(A202/10&gt;6,MOD(A202,60),IF(A202/10&gt;5,MOD(A202,50),IF(A202/10&gt;4,MOD(A202,40),IF(A202/10&gt;3,MOD(A202,30),IF(A202/10&gt;2,MOD(A202,20),MOD(A202,100)))))))))</formula>
    </cfRule>
  </conditionalFormatting>
  <conditionalFormatting sqref="K223:K225 H222:H225 H217:H218 H214:H215 H207:H209 H198:H199 H196 H188 H184:H185 H176 H178:H182 H170:H174 K170:K189 K158:K166 H165 H160 H137 H134:H135 K128 H124 K124 H127:H128 K134:K149 H121:H122 I364">
    <cfRule type="expression" dxfId="259" priority="257">
      <formula>IF(NOT(ISBLANK(H121)),IF(ISNUMBER(H121),IF(INT(H121/10000)&gt;23,TRUE,IF(INT(MOD(H121,10000)/100)&gt;59.99,TRUE,IF(MOD(H121,100)&gt;59.99,TRUE,FALSE))),TRUE))</formula>
    </cfRule>
  </conditionalFormatting>
  <conditionalFormatting sqref="A123 A125 A127 A129 A131 A133 A135 A137">
    <cfRule type="expression" priority="254">
      <formula>IF(MOD(A127,10)&lt;10,MOD(A127,10),IF(A127/10&gt;8,MOD(A127,80),IF(A127/10&gt;7,MOD(A127,70),IF(A127/10&gt;6,MOD(A127,60),IF(A127/10&gt;5,MOD(A127,50),IF(A127/10&gt;4,MOD(A127,40),IF(A127/10&gt;3,MOD(A127,30),IF(A127/10&gt;2,MOD(A127,20),MOD(A127,100)))))))))</formula>
    </cfRule>
  </conditionalFormatting>
  <conditionalFormatting sqref="A111 A114:A119 A167">
    <cfRule type="expression" priority="253">
      <formula>IF(MOD(#REF!,10)&lt;10,MOD(#REF!,10),IF(#REF!/10&gt;8,MOD(#REF!,80),IF(#REF!/10&gt;7,MOD(#REF!,70),IF(#REF!/10&gt;6,MOD(#REF!,60),IF(#REF!/10&gt;5,MOD(#REF!,50),IF(#REF!/10&gt;4,MOD(#REF!,40),IF(#REF!/10&gt;3,MOD(#REF!,30),IF(#REF!/10&gt;2,MOD(#REF!,20),MOD(#REF!,100)))))))))</formula>
    </cfRule>
  </conditionalFormatting>
  <conditionalFormatting sqref="A154:A155 A118 A114">
    <cfRule type="expression" priority="250">
      <formula>IF(MOD(#REF!,10)&lt;10,MOD(#REF!,10),IF(#REF!/10&gt;8,MOD(#REF!,80),IF(#REF!/10&gt;7,MOD(#REF!,70),IF(#REF!/10&gt;6,MOD(#REF!,60),IF(#REF!/10&gt;5,MOD(#REF!,50),IF(#REF!/10&gt;4,MOD(#REF!,40),IF(#REF!/10&gt;3,MOD(#REF!,30),IF(#REF!/10&gt;2,MOD(#REF!,20),MOD(#REF!,100)))))))))</formula>
    </cfRule>
  </conditionalFormatting>
  <conditionalFormatting sqref="A122">
    <cfRule type="expression" priority="249">
      <formula>IF(MOD(A143,10)&lt;10,MOD(A143,10),IF(A143/10&gt;8,MOD(A143,80),IF(A143/10&gt;7,MOD(A143,70),IF(A143/10&gt;6,MOD(A143,60),IF(A143/10&gt;5,MOD(A143,50),IF(A143/10&gt;4,MOD(A143,40),IF(A143/10&gt;3,MOD(A143,30),IF(A143/10&gt;2,MOD(A143,20),MOD(A143,100)))))))))</formula>
    </cfRule>
  </conditionalFormatting>
  <conditionalFormatting sqref="C156">
    <cfRule type="duplicateValues" dxfId="258" priority="247"/>
  </conditionalFormatting>
  <conditionalFormatting sqref="A170:A192">
    <cfRule type="expression" priority="245">
      <formula>IF(MOD(#REF!,10)&lt;10,MOD(#REF!,10),IF(#REF!/10&gt;8,MOD(#REF!,80),IF(#REF!/10&gt;7,MOD(#REF!,70),IF(#REF!/10&gt;6,MOD(#REF!,60),IF(#REF!/10&gt;5,MOD(#REF!,50),IF(#REF!/10&gt;4,MOD(#REF!,40),IF(#REF!/10&gt;3,MOD(#REF!,30),IF(#REF!/10&gt;2,MOD(#REF!,20),MOD(#REF!,100)))))))))</formula>
    </cfRule>
  </conditionalFormatting>
  <conditionalFormatting sqref="A129 A351">
    <cfRule type="expression" priority="244">
      <formula>IF(MOD(A153,10)&lt;10,MOD(A153,10),IF(A153/10&gt;8,MOD(A153,80),IF(A153/10&gt;7,MOD(A153,70),IF(A153/10&gt;6,MOD(A153,60),IF(A153/10&gt;5,MOD(A153,50),IF(A153/10&gt;4,MOD(A153,40),IF(A153/10&gt;3,MOD(A153,30),IF(A153/10&gt;2,MOD(A153,20),MOD(A153,100)))))))))</formula>
    </cfRule>
  </conditionalFormatting>
  <conditionalFormatting sqref="C195">
    <cfRule type="duplicateValues" dxfId="257" priority="243"/>
  </conditionalFormatting>
  <conditionalFormatting sqref="B208">
    <cfRule type="expression" dxfId="256" priority="240">
      <formula>IF(#REF!&lt;&gt;$H$11,IF(#REF!&lt;&gt;$H$12,IF(#REF!&lt;&gt;$H$13,IF(#REF!&lt;&gt;$I$11,IF(B208&lt;&gt;$I$12,IF(#REF!&lt;&gt;$I$13,IF(#REF!&lt;&gt;$L$11,IF(#REF!&lt;&gt;$L$12,IF(#REF!&lt;&gt;$L$13,IF(#REF!&lt;&gt;$N$11,IF(#REF!&lt;&gt;$N$12,TRUE)))))))))))</formula>
    </cfRule>
  </conditionalFormatting>
  <conditionalFormatting sqref="B203">
    <cfRule type="expression" dxfId="255" priority="239">
      <formula>IF(#REF!&lt;&gt;$H$11,IF(#REF!&lt;&gt;$H$12,IF(#REF!&lt;&gt;$H$13,IF(#REF!&lt;&gt;$I$11,IF(B203&lt;&gt;$I$12,IF(#REF!&lt;&gt;$I$13,IF(#REF!&lt;&gt;$L$11,IF(#REF!&lt;&gt;$L$12,IF(#REF!&lt;&gt;$L$13,IF(#REF!&lt;&gt;$N$11,IF(#REF!&lt;&gt;$N$12,TRUE)))))))))))</formula>
    </cfRule>
  </conditionalFormatting>
  <conditionalFormatting sqref="C211">
    <cfRule type="duplicateValues" dxfId="254" priority="238"/>
  </conditionalFormatting>
  <conditionalFormatting sqref="C220">
    <cfRule type="duplicateValues" dxfId="253" priority="236"/>
  </conditionalFormatting>
  <conditionalFormatting sqref="B223:B225">
    <cfRule type="expression" dxfId="252" priority="233">
      <formula>IF($B222&lt;&gt;$H$11,IF($B222&lt;&gt;$H$12,IF($B222&lt;&gt;$H$13,IF($B222&lt;&gt;$I$11,IF(B223&lt;&gt;$I$12,IF($B222&lt;&gt;$I$13,IF($B222&lt;&gt;$L$11,IF($B222&lt;&gt;$L$12,IF($B222&lt;&gt;$L$13,IF($B222&lt;&gt;$N$11,IF($B222&lt;&gt;$N$12,TRUE)))))))))))</formula>
    </cfRule>
  </conditionalFormatting>
  <conditionalFormatting sqref="A165">
    <cfRule type="expression" priority="231">
      <formula>IF(MOD(#REF!,10)&lt;10,MOD(#REF!,10),IF(#REF!/10&gt;8,MOD(#REF!,80),IF(#REF!/10&gt;7,MOD(#REF!,70),IF(#REF!/10&gt;6,MOD(#REF!,60),IF(#REF!/10&gt;5,MOD(#REF!,50),IF(#REF!/10&gt;4,MOD(#REF!,40),IF(#REF!/10&gt;3,MOD(#REF!,30),IF(#REF!/10&gt;2,MOD(#REF!,20),MOD(#REF!,100)))))))))</formula>
    </cfRule>
  </conditionalFormatting>
  <conditionalFormatting sqref="E203 E197:E200 E171:E194 E158:E169 E124:E155 E109:E122">
    <cfRule type="expression" dxfId="251" priority="230">
      <formula>IF(ISBLANK(E109),FALSE,IF(IF(ISNUMBER($E$13),IF(YEAR(TODAY())-$E$13&lt;=E109,FALSE,TRUE),FALSE),TRUE,IF(ISNUMBER($H$13),IF(YEAR(TODAY())-$H$13&lt;E109,TRUE,FALSE),FALSE)))</formula>
    </cfRule>
  </conditionalFormatting>
  <conditionalFormatting sqref="G120:G122 G112 G114:G117 G109:G110">
    <cfRule type="expression" dxfId="250" priority="229">
      <formula>IF(G109&gt;($H$11+$H$12-#REF!),IF((G109+#REF!)&gt;($H$11+$H$12),TRUE,))</formula>
    </cfRule>
  </conditionalFormatting>
  <conditionalFormatting sqref="G118:G119 G111 G113">
    <cfRule type="expression" dxfId="249" priority="228">
      <formula>IF(G111&gt;($H$11+$H$12-#REF!),IF((G111+#REF!)&gt;($H$11+$H$12),TRUE,))</formula>
    </cfRule>
  </conditionalFormatting>
  <conditionalFormatting sqref="B110">
    <cfRule type="expression" dxfId="248" priority="227">
      <formula>IF(#REF!&lt;&gt;$I$11,IF(#REF!&lt;&gt;$I$12,IF(#REF!&lt;&gt;$I$13,IF(#REF!&lt;&gt;$J$11,IF(#REF!&lt;&gt;$J$12,IF(#REF!&lt;&gt;$J$13,IF(#REF!&lt;&gt;#REF!,IF(#REF!&lt;&gt;#REF!,IF(#REF!&lt;&gt;#REF!,IF(#REF!&lt;&gt;#REF!,IF(#REF!&lt;&gt;#REF!,TRUE)))))))))))</formula>
    </cfRule>
  </conditionalFormatting>
  <conditionalFormatting sqref="B149 B145:B146 B139:B143 B121 B116 B112:B113">
    <cfRule type="expression" dxfId="247" priority="226">
      <formula>IF(#REF!&lt;&gt;$I$11,IF(#REF!&lt;&gt;$I$12,IF(#REF!&lt;&gt;$I$13,IF(#REF!&lt;&gt;$J$11,IF(#REF!&lt;&gt;$J$12,IF(#REF!&lt;&gt;$J$13,IF(#REF!&lt;&gt;#REF!,IF(#REF!&lt;&gt;#REF!,IF(#REF!&lt;&gt;#REF!,IF(#REF!&lt;&gt;#REF!,IF(#REF!&lt;&gt;#REF!,TRUE)))))))))))</formula>
    </cfRule>
  </conditionalFormatting>
  <conditionalFormatting sqref="B122">
    <cfRule type="expression" dxfId="246" priority="224">
      <formula>IF(#REF!&lt;&gt;$I$11,IF(#REF!&lt;&gt;$I$12,IF(#REF!&lt;&gt;$I$13,IF(#REF!&lt;&gt;$J$11,IF(#REF!&lt;&gt;$J$12,IF(#REF!&lt;&gt;$J$13,IF(#REF!&lt;&gt;#REF!,IF(#REF!&lt;&gt;#REF!,IF(#REF!&lt;&gt;#REF!,IF(#REF!&lt;&gt;#REF!,IF(#REF!&lt;&gt;#REF!,TRUE)))))))))))</formula>
    </cfRule>
  </conditionalFormatting>
  <conditionalFormatting sqref="A130 A367:A368">
    <cfRule type="expression" priority="223">
      <formula>IF(MOD(A153,10)&lt;10,MOD(A153,10),IF(A153/10&gt;8,MOD(A153,80),IF(A153/10&gt;7,MOD(A153,70),IF(A153/10&gt;6,MOD(A153,60),IF(A153/10&gt;5,MOD(A153,50),IF(A153/10&gt;4,MOD(A153,40),IF(A153/10&gt;3,MOD(A153,30),IF(A153/10&gt;2,MOD(A153,20),MOD(A153,100)))))))))</formula>
    </cfRule>
  </conditionalFormatting>
  <conditionalFormatting sqref="A124:A128 A130 A132 A134 A136 A138 A140">
    <cfRule type="expression" priority="222">
      <formula>IF(MOD(A149,10)&lt;10,MOD(A149,10),IF(A149/10&gt;8,MOD(A149,80),IF(A149/10&gt;7,MOD(A149,70),IF(A149/10&gt;6,MOD(A149,60),IF(A149/10&gt;5,MOD(A149,50),IF(A149/10&gt;4,MOD(A149,40),IF(A149/10&gt;3,MOD(A149,30),IF(A149/10&gt;2,MOD(A149,20),MOD(A149,100)))))))))</formula>
    </cfRule>
  </conditionalFormatting>
  <conditionalFormatting sqref="B138">
    <cfRule type="expression" dxfId="245" priority="221">
      <formula>IF(#REF!&lt;&gt;$I$11,IF(#REF!&lt;&gt;$I$12,IF(#REF!&lt;&gt;$I$13,IF(#REF!&lt;&gt;$J$11,IF(#REF!&lt;&gt;$J$12,IF(#REF!&lt;&gt;$J$13,IF(#REF!&lt;&gt;#REF!,IF(#REF!&lt;&gt;#REF!,IF(#REF!&lt;&gt;#REF!,IF(#REF!&lt;&gt;#REF!,IF(#REF!&lt;&gt;#REF!,TRUE)))))))))))</formula>
    </cfRule>
  </conditionalFormatting>
  <conditionalFormatting sqref="B147">
    <cfRule type="expression" dxfId="244" priority="220">
      <formula>IF(#REF!&lt;&gt;$I$11,IF(#REF!&lt;&gt;$I$12,IF(#REF!&lt;&gt;$I$13,IF(#REF!&lt;&gt;$J$11,IF(#REF!&lt;&gt;$J$12,IF(#REF!&lt;&gt;$J$13,IF(#REF!&lt;&gt;#REF!,IF(#REF!&lt;&gt;#REF!,IF(#REF!&lt;&gt;#REF!,IF(#REF!&lt;&gt;#REF!,IF(#REF!&lt;&gt;#REF!,TRUE)))))))))))</formula>
    </cfRule>
  </conditionalFormatting>
  <conditionalFormatting sqref="B152">
    <cfRule type="expression" dxfId="243" priority="219">
      <formula>IF(#REF!&lt;&gt;$I$11,IF(#REF!&lt;&gt;$I$12,IF(#REF!&lt;&gt;$I$13,IF(#REF!&lt;&gt;$J$11,IF(#REF!&lt;&gt;$J$12,IF(#REF!&lt;&gt;$J$13,IF(#REF!&lt;&gt;#REF!,IF(#REF!&lt;&gt;#REF!,IF(#REF!&lt;&gt;#REF!,IF(#REF!&lt;&gt;#REF!,IF(#REF!&lt;&gt;#REF!,TRUE)))))))))))</formula>
    </cfRule>
  </conditionalFormatting>
  <conditionalFormatting sqref="A132">
    <cfRule type="expression" priority="218">
      <formula>IF(MOD(#REF!,10)&lt;10,MOD(#REF!,10),IF(#REF!/10&gt;8,MOD(#REF!,80),IF(#REF!/10&gt;7,MOD(#REF!,70),IF(#REF!/10&gt;6,MOD(#REF!,60),IF(#REF!/10&gt;5,MOD(#REF!,50),IF(#REF!/10&gt;4,MOD(#REF!,40),IF(#REF!/10&gt;3,MOD(#REF!,30),IF(#REF!/10&gt;2,MOD(#REF!,20),MOD(#REF!,100)))))))))</formula>
    </cfRule>
  </conditionalFormatting>
  <conditionalFormatting sqref="A111:A112">
    <cfRule type="expression" priority="216">
      <formula>IF(MOD(A135,10)&lt;10,MOD(A135,10),IF(A135/10&gt;8,MOD(A135,80),IF(A135/10&gt;7,MOD(A135,70),IF(A135/10&gt;6,MOD(A135,60),IF(A135/10&gt;5,MOD(A135,50),IF(A135/10&gt;4,MOD(A135,40),IF(A135/10&gt;3,MOD(A135,30),IF(A135/10&gt;2,MOD(A135,20),MOD(A135,100)))))))))</formula>
    </cfRule>
  </conditionalFormatting>
  <conditionalFormatting sqref="A183">
    <cfRule type="expression" priority="215">
      <formula>IF(MOD(#REF!,10)&lt;10,MOD(#REF!,10),IF(#REF!/10&gt;8,MOD(#REF!,80),IF(#REF!/10&gt;7,MOD(#REF!,70),IF(#REF!/10&gt;6,MOD(#REF!,60),IF(#REF!/10&gt;5,MOD(#REF!,50),IF(#REF!/10&gt;4,MOD(#REF!,40),IF(#REF!/10&gt;3,MOD(#REF!,30),IF(#REF!/10&gt;2,MOD(#REF!,20),MOD(#REF!,100)))))))))</formula>
    </cfRule>
  </conditionalFormatting>
  <conditionalFormatting sqref="A116">
    <cfRule type="expression" priority="213">
      <formula>IF(MOD(#REF!,10)&lt;10,MOD(#REF!,10),IF(#REF!/10&gt;8,MOD(#REF!,80),IF(#REF!/10&gt;7,MOD(#REF!,70),IF(#REF!/10&gt;6,MOD(#REF!,60),IF(#REF!/10&gt;5,MOD(#REF!,50),IF(#REF!/10&gt;4,MOD(#REF!,40),IF(#REF!/10&gt;3,MOD(#REF!,30),IF(#REF!/10&gt;2,MOD(#REF!,20),MOD(#REF!,100)))))))))</formula>
    </cfRule>
  </conditionalFormatting>
  <conditionalFormatting sqref="A188 A182 A185 A172 A175 A178:A179 A167:A169 A147:A149 A141:A142 A135:A137 A121 A110 A113 A116:A118">
    <cfRule type="expression" priority="212">
      <formula>IF(MOD(#REF!,10)&lt;10,MOD(#REF!,10),IF(#REF!/10&gt;8,MOD(#REF!,80),IF(#REF!/10&gt;7,MOD(#REF!,70),IF(#REF!/10&gt;6,MOD(#REF!,60),IF(#REF!/10&gt;5,MOD(#REF!,50),IF(#REF!/10&gt;4,MOD(#REF!,40),IF(#REF!/10&gt;3,MOD(#REF!,30),IF(#REF!/10&gt;2,MOD(#REF!,20),MOD(#REF!,100)))))))))</formula>
    </cfRule>
  </conditionalFormatting>
  <conditionalFormatting sqref="B144">
    <cfRule type="expression" dxfId="242" priority="210">
      <formula>IF(#REF!&lt;&gt;$I$11,IF(#REF!&lt;&gt;$I$12,IF(#REF!&lt;&gt;$I$13,IF(#REF!&lt;&gt;$J$11,IF(#REF!&lt;&gt;$J$12,IF(#REF!&lt;&gt;$J$13,IF(#REF!&lt;&gt;#REF!,IF(#REF!&lt;&gt;#REF!,IF(#REF!&lt;&gt;#REF!,IF(#REF!&lt;&gt;#REF!,IF(#REF!&lt;&gt;#REF!,TRUE)))))))))))</formula>
    </cfRule>
  </conditionalFormatting>
  <conditionalFormatting sqref="A162">
    <cfRule type="expression" priority="208">
      <formula>IF(MOD(#REF!,10)&lt;10,MOD(#REF!,10),IF(#REF!/10&gt;8,MOD(#REF!,80),IF(#REF!/10&gt;7,MOD(#REF!,70),IF(#REF!/10&gt;6,MOD(#REF!,60),IF(#REF!/10&gt;5,MOD(#REF!,50),IF(#REF!/10&gt;4,MOD(#REF!,40),IF(#REF!/10&gt;3,MOD(#REF!,30),IF(#REF!/10&gt;2,MOD(#REF!,20),MOD(#REF!,100)))))))))</formula>
    </cfRule>
  </conditionalFormatting>
  <conditionalFormatting sqref="B163">
    <cfRule type="expression" dxfId="241" priority="207">
      <formula>IF(#REF!&lt;&gt;$I$11,IF(#REF!&lt;&gt;$I$12,IF(#REF!&lt;&gt;$I$13,IF(#REF!&lt;&gt;$J$11,IF(#REF!&lt;&gt;$J$12,IF(#REF!&lt;&gt;$J$13,IF(#REF!&lt;&gt;#REF!,IF(#REF!&lt;&gt;#REF!,IF(#REF!&lt;&gt;#REF!,IF(#REF!&lt;&gt;#REF!,IF(#REF!&lt;&gt;#REF!,TRUE)))))))))))</formula>
    </cfRule>
  </conditionalFormatting>
  <conditionalFormatting sqref="A148:A149">
    <cfRule type="expression" priority="205">
      <formula>IF(MOD(#REF!,10)&lt;10,MOD(#REF!,10),IF(#REF!/10&gt;8,MOD(#REF!,80),IF(#REF!/10&gt;7,MOD(#REF!,70),IF(#REF!/10&gt;6,MOD(#REF!,60),IF(#REF!/10&gt;5,MOD(#REF!,50),IF(#REF!/10&gt;4,MOD(#REF!,40),IF(#REF!/10&gt;3,MOD(#REF!,30),IF(#REF!/10&gt;2,MOD(#REF!,20),MOD(#REF!,100)))))))))</formula>
    </cfRule>
  </conditionalFormatting>
  <conditionalFormatting sqref="B162">
    <cfRule type="expression" dxfId="240" priority="204">
      <formula>IF(#REF!&lt;&gt;$I$11,IF(#REF!&lt;&gt;$I$12,IF(#REF!&lt;&gt;$I$13,IF(#REF!&lt;&gt;$J$11,IF(#REF!&lt;&gt;$J$12,IF(#REF!&lt;&gt;$J$13,IF(#REF!&lt;&gt;#REF!,IF(#REF!&lt;&gt;#REF!,IF(#REF!&lt;&gt;#REF!,IF(#REF!&lt;&gt;#REF!,IF(#REF!&lt;&gt;#REF!,TRUE)))))))))))</formula>
    </cfRule>
  </conditionalFormatting>
  <conditionalFormatting sqref="A143">
    <cfRule type="expression" priority="203">
      <formula>IF(MOD(#REF!,10)&lt;10,MOD(#REF!,10),IF(#REF!/10&gt;8,MOD(#REF!,80),IF(#REF!/10&gt;7,MOD(#REF!,70),IF(#REF!/10&gt;6,MOD(#REF!,60),IF(#REF!/10&gt;5,MOD(#REF!,50),IF(#REF!/10&gt;4,MOD(#REF!,40),IF(#REF!/10&gt;3,MOD(#REF!,30),IF(#REF!/10&gt;2,MOD(#REF!,20),MOD(#REF!,100)))))))))</formula>
    </cfRule>
  </conditionalFormatting>
  <conditionalFormatting sqref="B153">
    <cfRule type="expression" dxfId="239" priority="200">
      <formula>IF(#REF!&lt;&gt;$I$11,IF(#REF!&lt;&gt;$I$12,IF(#REF!&lt;&gt;$I$13,IF(#REF!&lt;&gt;$J$11,IF(#REF!&lt;&gt;$J$12,IF(#REF!&lt;&gt;$J$13,IF(#REF!&lt;&gt;#REF!,IF(#REF!&lt;&gt;#REF!,IF(#REF!&lt;&gt;#REF!,IF(#REF!&lt;&gt;#REF!,IF(#REF!&lt;&gt;#REF!,TRUE)))))))))))</formula>
    </cfRule>
  </conditionalFormatting>
  <conditionalFormatting sqref="A171 A173:A175 A177 A179:A187 A189 A191">
    <cfRule type="expression" priority="196">
      <formula>IF(MOD(#REF!,10)&lt;10,MOD(#REF!,10),IF(#REF!/10&gt;8,MOD(#REF!,80),IF(#REF!/10&gt;7,MOD(#REF!,70),IF(#REF!/10&gt;6,MOD(#REF!,60),IF(#REF!/10&gt;5,MOD(#REF!,50),IF(#REF!/10&gt;4,MOD(#REF!,40),IF(#REF!/10&gt;3,MOD(#REF!,30),IF(#REF!/10&gt;2,MOD(#REF!,20),MOD(#REF!,100)))))))))</formula>
    </cfRule>
  </conditionalFormatting>
  <conditionalFormatting sqref="A138">
    <cfRule type="expression" priority="195">
      <formula>IF(MOD(A157,10)&lt;10,MOD(A157,10),IF(A157/10&gt;8,MOD(A157,80),IF(A157/10&gt;7,MOD(A157,70),IF(A157/10&gt;6,MOD(A157,60),IF(A157/10&gt;5,MOD(A157,50),IF(A157/10&gt;4,MOD(A157,40),IF(A157/10&gt;3,MOD(A157,30),IF(A157/10&gt;2,MOD(A157,20),MOD(A157,100)))))))))</formula>
    </cfRule>
  </conditionalFormatting>
  <conditionalFormatting sqref="A147 A138 A163 A184:A189">
    <cfRule type="expression" priority="192">
      <formula>IF(MOD(#REF!,10)&lt;10,MOD(#REF!,10),IF(#REF!/10&gt;8,MOD(#REF!,80),IF(#REF!/10&gt;7,MOD(#REF!,70),IF(#REF!/10&gt;6,MOD(#REF!,60),IF(#REF!/10&gt;5,MOD(#REF!,50),IF(#REF!/10&gt;4,MOD(#REF!,40),IF(#REF!/10&gt;3,MOD(#REF!,30),IF(#REF!/10&gt;2,MOD(#REF!,20),MOD(#REF!,100)))))))))</formula>
    </cfRule>
  </conditionalFormatting>
  <conditionalFormatting sqref="B191">
    <cfRule type="expression" dxfId="238" priority="189">
      <formula>IF(#REF!&lt;&gt;$I$11,IF(#REF!&lt;&gt;$I$12,IF(#REF!&lt;&gt;$I$13,IF(#REF!&lt;&gt;$J$11,IF(#REF!&lt;&gt;$J$12,IF(#REF!&lt;&gt;$J$13,IF(#REF!&lt;&gt;#REF!,IF(#REF!&lt;&gt;#REF!,IF(#REF!&lt;&gt;#REF!,IF(#REF!&lt;&gt;#REF!,IF(#REF!&lt;&gt;#REF!,TRUE)))))))))))</formula>
    </cfRule>
  </conditionalFormatting>
  <conditionalFormatting sqref="A161">
    <cfRule type="expression" priority="188">
      <formula>IF(MOD(A171,10)&lt;10,MOD(A171,10),IF(A171/10&gt;8,MOD(A171,80),IF(A171/10&gt;7,MOD(A171,70),IF(A171/10&gt;6,MOD(A171,60),IF(A171/10&gt;5,MOD(A171,50),IF(A171/10&gt;4,MOD(A171,40),IF(A171/10&gt;3,MOD(A171,30),IF(A171/10&gt;2,MOD(A171,20),MOD(A171,100)))))))))</formula>
    </cfRule>
  </conditionalFormatting>
  <conditionalFormatting sqref="A188:A189 A179:A182 A109:A110 A112:A113 A115:A116 A118 A159">
    <cfRule type="expression" priority="186">
      <formula>IF(MOD(#REF!,10)&lt;10,MOD(#REF!,10),IF(#REF!/10&gt;8,MOD(#REF!,80),IF(#REF!/10&gt;7,MOD(#REF!,70),IF(#REF!/10&gt;6,MOD(#REF!,60),IF(#REF!/10&gt;5,MOD(#REF!,50),IF(#REF!/10&gt;4,MOD(#REF!,40),IF(#REF!/10&gt;3,MOD(#REF!,30),IF(#REF!/10&gt;2,MOD(#REF!,20),MOD(#REF!,100)))))))))</formula>
    </cfRule>
  </conditionalFormatting>
  <conditionalFormatting sqref="A164">
    <cfRule type="expression" priority="183">
      <formula>IF(MOD(#REF!,10)&lt;10,MOD(#REF!,10),IF(#REF!/10&gt;8,MOD(#REF!,80),IF(#REF!/10&gt;7,MOD(#REF!,70),IF(#REF!/10&gt;6,MOD(#REF!,60),IF(#REF!/10&gt;5,MOD(#REF!,50),IF(#REF!/10&gt;4,MOD(#REF!,40),IF(#REF!/10&gt;3,MOD(#REF!,30),IF(#REF!/10&gt;2,MOD(#REF!,20),MOD(#REF!,100)))))))))</formula>
    </cfRule>
  </conditionalFormatting>
  <conditionalFormatting sqref="A135 A131 A115">
    <cfRule type="expression" priority="182">
      <formula>IF(MOD(#REF!,10)&lt;10,MOD(#REF!,10),IF(#REF!/10&gt;8,MOD(#REF!,80),IF(#REF!/10&gt;7,MOD(#REF!,70),IF(#REF!/10&gt;6,MOD(#REF!,60),IF(#REF!/10&gt;5,MOD(#REF!,50),IF(#REF!/10&gt;4,MOD(#REF!,40),IF(#REF!/10&gt;3,MOD(#REF!,30),IF(#REF!/10&gt;2,MOD(#REF!,20),MOD(#REF!,100)))))))))</formula>
    </cfRule>
  </conditionalFormatting>
  <conditionalFormatting sqref="A146 A148 A150 A170 A143 A166 A172 A174 A176 A178 A180 A182 A184 A186 A188 A190 A192 A204:A206 A117 A139 A112:A115 A119:A137 A152:A154 A156 A158 A160:A164 A364:A366">
    <cfRule type="expression" priority="179">
      <formula>IF(MOD(#REF!,10)&lt;10,MOD(#REF!,10),IF(#REF!/10&gt;8,MOD(#REF!,80),IF(#REF!/10&gt;7,MOD(#REF!,70),IF(#REF!/10&gt;6,MOD(#REF!,60),IF(#REF!/10&gt;5,MOD(#REF!,50),IF(#REF!/10&gt;4,MOD(#REF!,40),IF(#REF!/10&gt;3,MOD(#REF!,30),IF(#REF!/10&gt;2,MOD(#REF!,20),MOD(#REF!,100)))))))))</formula>
    </cfRule>
  </conditionalFormatting>
  <conditionalFormatting sqref="A141:A142">
    <cfRule type="expression" priority="176">
      <formula>IF(MOD(A158,10)&lt;10,MOD(A158,10),IF(A158/10&gt;8,MOD(A158,80),IF(A158/10&gt;7,MOD(A158,70),IF(A158/10&gt;6,MOD(A158,60),IF(A158/10&gt;5,MOD(A158,50),IF(A158/10&gt;4,MOD(A158,40),IF(A158/10&gt;3,MOD(A158,30),IF(A158/10&gt;2,MOD(A158,20),MOD(A158,100)))))))))</formula>
    </cfRule>
  </conditionalFormatting>
  <conditionalFormatting sqref="A140 A145:A165">
    <cfRule type="expression" priority="175">
      <formula>IF(MOD(#REF!,10)&lt;10,MOD(#REF!,10),IF(#REF!/10&gt;8,MOD(#REF!,80),IF(#REF!/10&gt;7,MOD(#REF!,70),IF(#REF!/10&gt;6,MOD(#REF!,60),IF(#REF!/10&gt;5,MOD(#REF!,50),IF(#REF!/10&gt;4,MOD(#REF!,40),IF(#REF!/10&gt;3,MOD(#REF!,30),IF(#REF!/10&gt;2,MOD(#REF!,20),MOD(#REF!,100)))))))))</formula>
    </cfRule>
  </conditionalFormatting>
  <conditionalFormatting sqref="A146 A148 A150">
    <cfRule type="expression" priority="174">
      <formula>IF(MOD(A161,10)&lt;10,MOD(A161,10),IF(A161/10&gt;8,MOD(A161,80),IF(A161/10&gt;7,MOD(A161,70),IF(A161/10&gt;6,MOD(A161,60),IF(A161/10&gt;5,MOD(A161,50),IF(A161/10&gt;4,MOD(A161,40),IF(A161/10&gt;3,MOD(A161,30),IF(A161/10&gt;2,MOD(A161,20),MOD(A161,100)))))))))</formula>
    </cfRule>
  </conditionalFormatting>
  <conditionalFormatting sqref="A139">
    <cfRule type="expression" priority="173">
      <formula>IF(MOD(#REF!,10)&lt;10,MOD(#REF!,10),IF(#REF!/10&gt;8,MOD(#REF!,80),IF(#REF!/10&gt;7,MOD(#REF!,70),IF(#REF!/10&gt;6,MOD(#REF!,60),IF(#REF!/10&gt;5,MOD(#REF!,50),IF(#REF!/10&gt;4,MOD(#REF!,40),IF(#REF!/10&gt;3,MOD(#REF!,30),IF(#REF!/10&gt;2,MOD(#REF!,20),MOD(#REF!,100)))))))))</formula>
    </cfRule>
  </conditionalFormatting>
  <conditionalFormatting sqref="A144:A145 A147 A149:A151 A153 A155 A157 A159 A161 A163 A165">
    <cfRule type="expression" priority="172">
      <formula>IF(MOD(#REF!,10)&lt;10,MOD(#REF!,10),IF(#REF!/10&gt;8,MOD(#REF!,80),IF(#REF!/10&gt;7,MOD(#REF!,70),IF(#REF!/10&gt;6,MOD(#REF!,60),IF(#REF!/10&gt;5,MOD(#REF!,50),IF(#REF!/10&gt;4,MOD(#REF!,40),IF(#REF!/10&gt;3,MOD(#REF!,30),IF(#REF!/10&gt;2,MOD(#REF!,20),MOD(#REF!,100)))))))))</formula>
    </cfRule>
  </conditionalFormatting>
  <conditionalFormatting sqref="A150:A152 A160 A162 A164">
    <cfRule type="expression" priority="171">
      <formula>IF(MOD(A161,10)&lt;10,MOD(A161,10),IF(A161/10&gt;8,MOD(A161,80),IF(A161/10&gt;7,MOD(A161,70),IF(A161/10&gt;6,MOD(A161,60),IF(A161/10&gt;5,MOD(A161,50),IF(A161/10&gt;4,MOD(A161,40),IF(A161/10&gt;3,MOD(A161,30),IF(A161/10&gt;2,MOD(A161,20),MOD(A161,100)))))))))</formula>
    </cfRule>
  </conditionalFormatting>
  <conditionalFormatting sqref="A149">
    <cfRule type="expression" priority="170">
      <formula>IF(MOD(A161,10)&lt;10,MOD(A161,10),IF(A161/10&gt;8,MOD(A161,80),IF(A161/10&gt;7,MOD(A161,70),IF(A161/10&gt;6,MOD(A161,60),IF(A161/10&gt;5,MOD(A161,50),IF(A161/10&gt;4,MOD(A161,40),IF(A161/10&gt;3,MOD(A161,30),IF(A161/10&gt;2,MOD(A161,20),MOD(A161,100)))))))))</formula>
    </cfRule>
  </conditionalFormatting>
  <conditionalFormatting sqref="B154:B155">
    <cfRule type="expression" dxfId="237" priority="169">
      <formula>IF($E135&lt;&gt;$I$11,IF($E135&lt;&gt;$I$12,IF($E135&lt;&gt;$I$13,IF($E135&lt;&gt;$J$11,IF($E135&lt;&gt;$J$12,IF($E135&lt;&gt;$J$13,IF($E135&lt;&gt;#REF!,IF($E135&lt;&gt;#REF!,IF($E135&lt;&gt;#REF!,IF($E135&lt;&gt;#REF!,IF($E135&lt;&gt;#REF!,TRUE)))))))))))</formula>
    </cfRule>
  </conditionalFormatting>
  <conditionalFormatting sqref="C154:C155">
    <cfRule type="duplicateValues" dxfId="236" priority="168"/>
  </conditionalFormatting>
  <conditionalFormatting sqref="A119:A121">
    <cfRule type="expression" priority="167">
      <formula>IF(MOD(A138,10)&lt;10,MOD(A138,10),IF(A138/10&gt;8,MOD(A138,80),IF(A138/10&gt;7,MOD(A138,70),IF(A138/10&gt;6,MOD(A138,60),IF(A138/10&gt;5,MOD(A138,50),IF(A138/10&gt;4,MOD(A138,40),IF(A138/10&gt;3,MOD(A138,30),IF(A138/10&gt;2,MOD(A138,20),MOD(A138,100)))))))))</formula>
    </cfRule>
  </conditionalFormatting>
  <conditionalFormatting sqref="C167:C169">
    <cfRule type="duplicateValues" dxfId="235" priority="160"/>
  </conditionalFormatting>
  <conditionalFormatting sqref="A152">
    <cfRule type="expression" priority="157">
      <formula>IF(MOD(A166,10)&lt;10,MOD(A166,10),IF(A166/10&gt;8,MOD(A166,80),IF(A166/10&gt;7,MOD(A166,70),IF(A166/10&gt;6,MOD(A166,60),IF(A166/10&gt;5,MOD(A166,50),IF(A166/10&gt;4,MOD(A166,40),IF(A166/10&gt;3,MOD(A166,30),IF(A166/10&gt;2,MOD(A166,20),MOD(A166,100)))))))))</formula>
    </cfRule>
  </conditionalFormatting>
  <conditionalFormatting sqref="A143:A144">
    <cfRule type="expression" priority="156">
      <formula>IF(MOD(#REF!,10)&lt;10,MOD(#REF!,10),IF(#REF!/10&gt;8,MOD(#REF!,80),IF(#REF!/10&gt;7,MOD(#REF!,70),IF(#REF!/10&gt;6,MOD(#REF!,60),IF(#REF!/10&gt;5,MOD(#REF!,50),IF(#REF!/10&gt;4,MOD(#REF!,40),IF(#REF!/10&gt;3,MOD(#REF!,30),IF(#REF!/10&gt;2,MOD(#REF!,20),MOD(#REF!,100)))))))))</formula>
    </cfRule>
  </conditionalFormatting>
  <conditionalFormatting sqref="E214:E215 E188 E184:E185 E176 E179:E181 E173:E174 E170:E171 E165 E137 E134:E135 E124 E127:E128 E364">
    <cfRule type="expression" dxfId="234" priority="153">
      <formula>IF(ISBLANK(E124),FALSE,IF(IF(ISNUMBER($G$8),IF(YEAR(TODAY())-$G$8&lt;=E124,FALSE,TRUE),FALSE),TRUE,IF(ISNUMBER($E$8),IF(YEAR(TODAY())-$E$8&lt;E124,TRUE,FALSE),FALSE)))</formula>
    </cfRule>
  </conditionalFormatting>
  <conditionalFormatting sqref="A220:A222 A211:A213 A192:A194 A199 A188 A180 A168:A169 A160 A154 A136 A129">
    <cfRule type="expression" priority="151">
      <formula>IF(MOD(#REF!,10)&lt;10,MOD(#REF!,10),IF(#REF!/10&gt;8,MOD(#REF!,80),IF(#REF!/10&gt;7,MOD(#REF!,70),IF(#REF!/10&gt;6,MOD(#REF!,60),IF(#REF!/10&gt;5,MOD(#REF!,50),IF(#REF!/10&gt;4,MOD(#REF!,40),IF(#REF!/10&gt;3,MOD(#REF!,30),IF(#REF!/10&gt;2,MOD(#REF!,20),MOD(#REF!,100)))))))))</formula>
    </cfRule>
  </conditionalFormatting>
  <conditionalFormatting sqref="A147">
    <cfRule type="expression" priority="147">
      <formula>IF(MOD(A183,10)&lt;10,MOD(A183,10),IF(A183/10&gt;8,MOD(A183,80),IF(A183/10&gt;7,MOD(A183,70),IF(A183/10&gt;6,MOD(A183,60),IF(A183/10&gt;5,MOD(A183,50),IF(A183/10&gt;4,MOD(A183,40),IF(A183/10&gt;3,MOD(A183,30),IF(A183/10&gt;2,MOD(A183,20),MOD(A183,100)))))))))</formula>
    </cfRule>
  </conditionalFormatting>
  <conditionalFormatting sqref="E217:E218 E207:E208 E198 E196 E121 E372 E363:E365 E351:E360">
    <cfRule type="expression" dxfId="233" priority="134">
      <formula>IF(ISBLANK(E121),FALSE,IF(IF(ISNUMBER($E$8),IF(YEAR(TODAY())-$E$8&lt;=E121,FALSE,TRUE),FALSE),TRUE,IF(ISNUMBER($H$8),IF(YEAR(TODAY())-$H$8&lt;E121,TRUE,FALSE),FALSE)))</formula>
    </cfRule>
  </conditionalFormatting>
  <conditionalFormatting sqref="G121:G122">
    <cfRule type="expression" dxfId="232" priority="133">
      <formula>IF(G121&gt;($H$6+$H$7-#REF!),IF((G121+#REF!)&gt;($H$6+$H$7),TRUE,))</formula>
    </cfRule>
  </conditionalFormatting>
  <conditionalFormatting sqref="B196 B122">
    <cfRule type="expression" dxfId="231" priority="132">
      <formula>IF(#REF!&lt;&gt;$I$6,IF(#REF!&lt;&gt;$I$7,IF(#REF!&lt;&gt;$I$8,IF(#REF!&lt;&gt;$J$6,IF(#REF!&lt;&gt;$J$7,IF(#REF!&lt;&gt;$J$8,IF(#REF!&lt;&gt;#REF!,IF(#REF!&lt;&gt;#REF!,IF(#REF!&lt;&gt;#REF!,IF(#REF!&lt;&gt;#REF!,IF(#REF!&lt;&gt;#REF!,TRUE)))))))))))</formula>
    </cfRule>
  </conditionalFormatting>
  <conditionalFormatting sqref="K124">
    <cfRule type="expression" dxfId="230" priority="131">
      <formula>IF(ISNUMBER(K124),IF(((YEAR(TODAY()))-12)&gt;=#REF!,FALSE,TRUE))</formula>
    </cfRule>
  </conditionalFormatting>
  <conditionalFormatting sqref="A109 A115 A118 A112">
    <cfRule type="expression" priority="130">
      <formula>IF(MOD(A154,10)&lt;10,MOD(A154,10),IF(A154/10&gt;8,MOD(A154,80),IF(A154/10&gt;7,MOD(A154,70),IF(A154/10&gt;6,MOD(A154,60),IF(A154/10&gt;5,MOD(A154,50),IF(A154/10&gt;4,MOD(A154,40),IF(A154/10&gt;3,MOD(A154,30),IF(A154/10&gt;2,MOD(A154,20),MOD(A154,100)))))))))</formula>
    </cfRule>
  </conditionalFormatting>
  <conditionalFormatting sqref="A223 A205:A206 A158:A159">
    <cfRule type="expression" priority="129">
      <formula>IF(MOD(#REF!,10)&lt;10,MOD(#REF!,10),IF(#REF!/10&gt;8,MOD(#REF!,80),IF(#REF!/10&gt;7,MOD(#REF!,70),IF(#REF!/10&gt;6,MOD(#REF!,60),IF(#REF!/10&gt;5,MOD(#REF!,50),IF(#REF!/10&gt;4,MOD(#REF!,40),IF(#REF!/10&gt;3,MOD(#REF!,30),IF(#REF!/10&gt;2,MOD(#REF!,20),MOD(#REF!,100)))))))))</formula>
    </cfRule>
  </conditionalFormatting>
  <conditionalFormatting sqref="A110 A113 A116">
    <cfRule type="expression" priority="128">
      <formula>IF(MOD(#REF!,10)&lt;10,MOD(#REF!,10),IF(#REF!/10&gt;8,MOD(#REF!,80),IF(#REF!/10&gt;7,MOD(#REF!,70),IF(#REF!/10&gt;6,MOD(#REF!,60),IF(#REF!/10&gt;5,MOD(#REF!,50),IF(#REF!/10&gt;4,MOD(#REF!,40),IF(#REF!/10&gt;3,MOD(#REF!,30),IF(#REF!/10&gt;2,MOD(#REF!,20),MOD(#REF!,100)))))))))</formula>
    </cfRule>
  </conditionalFormatting>
  <conditionalFormatting sqref="B198">
    <cfRule type="expression" dxfId="229" priority="127">
      <formula>IF(#REF!&lt;&gt;$I$6,IF(#REF!&lt;&gt;$I$7,IF(#REF!&lt;&gt;$I$8,IF(#REF!&lt;&gt;$J$6,IF(#REF!&lt;&gt;$J$7,IF(#REF!&lt;&gt;$J$8,IF(#REF!&lt;&gt;#REF!,IF(#REF!&lt;&gt;#REF!,IF(#REF!&lt;&gt;#REF!,IF(#REF!&lt;&gt;#REF!,IF(#REF!&lt;&gt;#REF!,TRUE)))))))))))</formula>
    </cfRule>
  </conditionalFormatting>
  <conditionalFormatting sqref="B207">
    <cfRule type="expression" dxfId="228" priority="126">
      <formula>IF(#REF!&lt;&gt;$I$6,IF(#REF!&lt;&gt;$I$7,IF(#REF!&lt;&gt;$I$8,IF(#REF!&lt;&gt;$J$6,IF(#REF!&lt;&gt;$J$7,IF(#REF!&lt;&gt;$J$8,IF(#REF!&lt;&gt;#REF!,IF(#REF!&lt;&gt;#REF!,IF(#REF!&lt;&gt;#REF!,IF(#REF!&lt;&gt;#REF!,IF(#REF!&lt;&gt;#REF!,TRUE)))))))))))</formula>
    </cfRule>
  </conditionalFormatting>
  <conditionalFormatting sqref="A215 A156:A157">
    <cfRule type="expression" priority="117">
      <formula>IF(MOD(#REF!,10)&lt;10,MOD(#REF!,10),IF(#REF!/10&gt;8,MOD(#REF!,80),IF(#REF!/10&gt;7,MOD(#REF!,70),IF(#REF!/10&gt;6,MOD(#REF!,60),IF(#REF!/10&gt;5,MOD(#REF!,50),IF(#REF!/10&gt;4,MOD(#REF!,40),IF(#REF!/10&gt;3,MOD(#REF!,30),IF(#REF!/10&gt;2,MOD(#REF!,20),MOD(#REF!,100)))))))))</formula>
    </cfRule>
  </conditionalFormatting>
  <conditionalFormatting sqref="A207 A202:A203 A146 A139:A142 A133:A134 A126:A127 A148 A150:A152 A154 A156 A158 A160 A162 A164">
    <cfRule type="expression" priority="110">
      <formula>IF(MOD(#REF!,10)&lt;10,MOD(#REF!,10),IF(#REF!/10&gt;8,MOD(#REF!,80),IF(#REF!/10&gt;7,MOD(#REF!,70),IF(#REF!/10&gt;6,MOD(#REF!,60),IF(#REF!/10&gt;5,MOD(#REF!,50),IF(#REF!/10&gt;4,MOD(#REF!,40),IF(#REF!/10&gt;3,MOD(#REF!,30),IF(#REF!/10&gt;2,MOD(#REF!,20),MOD(#REF!,100)))))))))</formula>
    </cfRule>
  </conditionalFormatting>
  <conditionalFormatting sqref="K128">
    <cfRule type="expression" dxfId="227" priority="108">
      <formula>IF(ISNUMBER(K128),IF(((YEAR(TODAY()))-12)&gt;=D128,FALSE,TRUE))</formula>
    </cfRule>
  </conditionalFormatting>
  <conditionalFormatting sqref="B185">
    <cfRule type="expression" dxfId="226" priority="107">
      <formula>IF(#REF!&lt;&gt;$H$6,IF(#REF!&lt;&gt;$H$7,IF(#REF!&lt;&gt;$H$8,IF(#REF!&lt;&gt;$I$6,IF(B185&lt;&gt;$I$7,IF(#REF!&lt;&gt;$I$8,IF(#REF!&lt;&gt;$L$6,IF(#REF!&lt;&gt;$L$7,IF(#REF!&lt;&gt;$L$8,IF(#REF!&lt;&gt;$N$6,IF(#REF!&lt;&gt;$N$7,TRUE)))))))))))</formula>
    </cfRule>
  </conditionalFormatting>
  <conditionalFormatting sqref="A117">
    <cfRule type="expression" priority="105">
      <formula>IF(MOD(A160,10)&lt;10,MOD(A160,10),IF(A160/10&gt;8,MOD(A160,80),IF(A160/10&gt;7,MOD(A160,70),IF(A160/10&gt;6,MOD(A160,60),IF(A160/10&gt;5,MOD(A160,50),IF(A160/10&gt;4,MOD(A160,40),IF(A160/10&gt;3,MOD(A160,30),IF(A160/10&gt;2,MOD(A160,20),MOD(A160,100)))))))))</formula>
    </cfRule>
  </conditionalFormatting>
  <conditionalFormatting sqref="B172 B139 B137 B135">
    <cfRule type="expression" dxfId="225" priority="104">
      <formula>IF(#REF!&lt;&gt;$H$6,IF(#REF!&lt;&gt;$H$7,IF(#REF!&lt;&gt;$H$8,IF(#REF!&lt;&gt;$I$6,IF(B135&lt;&gt;$I$7,IF(#REF!&lt;&gt;$I$8,IF(#REF!&lt;&gt;$L$6,IF(#REF!&lt;&gt;$L$7,IF(#REF!&lt;&gt;$L$8,IF(#REF!&lt;&gt;$N$6,IF(#REF!&lt;&gt;$N$7,TRUE)))))))))))</formula>
    </cfRule>
  </conditionalFormatting>
  <conditionalFormatting sqref="A147 A149 A151">
    <cfRule type="expression" priority="101">
      <formula>IF(MOD(A184,10)&lt;10,MOD(A184,10),IF(A184/10&gt;8,MOD(A184,80),IF(A184/10&gt;7,MOD(A184,70),IF(A184/10&gt;6,MOD(A184,60),IF(A184/10&gt;5,MOD(A184,50),IF(A184/10&gt;4,MOD(A184,40),IF(A184/10&gt;3,MOD(A184,30),IF(A184/10&gt;2,MOD(A184,20),MOD(A184,100)))))))))</formula>
    </cfRule>
  </conditionalFormatting>
  <conditionalFormatting sqref="A145">
    <cfRule type="expression" priority="99">
      <formula>IF(MOD(A182,10)&lt;10,MOD(A182,10),IF(A182/10&gt;8,MOD(A182,80),IF(A182/10&gt;7,MOD(A182,70),IF(A182/10&gt;6,MOD(A182,60),IF(A182/10&gt;5,MOD(A182,50),IF(A182/10&gt;4,MOD(A182,40),IF(A182/10&gt;3,MOD(A182,30),IF(A182/10&gt;2,MOD(A182,20),MOD(A182,100)))))))))</formula>
    </cfRule>
  </conditionalFormatting>
  <conditionalFormatting sqref="A153">
    <cfRule type="expression" priority="98">
      <formula>IF(MOD(A189,10)&lt;10,MOD(A189,10),IF(A189/10&gt;8,MOD(A189,80),IF(A189/10&gt;7,MOD(A189,70),IF(A189/10&gt;6,MOD(A189,60),IF(A189/10&gt;5,MOD(A189,50),IF(A189/10&gt;4,MOD(A189,40),IF(A189/10&gt;3,MOD(A189,30),IF(A189/10&gt;2,MOD(A189,20),MOD(A189,100)))))))))</formula>
    </cfRule>
  </conditionalFormatting>
  <conditionalFormatting sqref="A165:A166 A170:A192">
    <cfRule type="expression" priority="96">
      <formula>IF(MOD(#REF!,10)&lt;10,MOD(#REF!,10),IF(#REF!/10&gt;8,MOD(#REF!,80),IF(#REF!/10&gt;7,MOD(#REF!,70),IF(#REF!/10&gt;6,MOD(#REF!,60),IF(#REF!/10&gt;5,MOD(#REF!,50),IF(#REF!/10&gt;4,MOD(#REF!,40),IF(#REF!/10&gt;3,MOD(#REF!,30),IF(#REF!/10&gt;2,MOD(#REF!,20),MOD(#REF!,100)))))))))</formula>
    </cfRule>
  </conditionalFormatting>
  <conditionalFormatting sqref="K185">
    <cfRule type="expression" dxfId="224" priority="92">
      <formula>IF(K185&gt;$G$6,TRUE)</formula>
    </cfRule>
  </conditionalFormatting>
  <conditionalFormatting sqref="B179:B180">
    <cfRule type="expression" dxfId="223" priority="91">
      <formula>IF(#REF!&lt;&gt;$H$6,IF(#REF!&lt;&gt;$H$7,IF(#REF!&lt;&gt;$H$8,IF(#REF!&lt;&gt;$I$6,IF(B179&lt;&gt;$I$7,IF(#REF!&lt;&gt;$I$8,IF(#REF!&lt;&gt;$L$6,IF(#REF!&lt;&gt;$L$7,IF(#REF!&lt;&gt;$L$8,IF(#REF!&lt;&gt;$N$6,IF(#REF!&lt;&gt;$N$7,TRUE)))))))))))</formula>
    </cfRule>
  </conditionalFormatting>
  <conditionalFormatting sqref="A148:A149">
    <cfRule type="expression" priority="90">
      <formula>IF(MOD(#REF!,10)&lt;10,MOD(#REF!,10),IF(#REF!/10&gt;8,MOD(#REF!,80),IF(#REF!/10&gt;7,MOD(#REF!,70),IF(#REF!/10&gt;6,MOD(#REF!,60),IF(#REF!/10&gt;5,MOD(#REF!,50),IF(#REF!/10&gt;4,MOD(#REF!,40),IF(#REF!/10&gt;3,MOD(#REF!,30),IF(#REF!/10&gt;2,MOD(#REF!,20),MOD(#REF!,100)))))))))</formula>
    </cfRule>
  </conditionalFormatting>
  <conditionalFormatting sqref="B171">
    <cfRule type="expression" dxfId="222" priority="89">
      <formula>IF(#REF!&lt;&gt;$H$6,IF(#REF!&lt;&gt;$H$7,IF(#REF!&lt;&gt;$H$8,IF(#REF!&lt;&gt;$I$6,IF(B171&lt;&gt;$I$7,IF(#REF!&lt;&gt;$I$8,IF(#REF!&lt;&gt;$L$6,IF(#REF!&lt;&gt;$L$7,IF(#REF!&lt;&gt;$L$8,IF(#REF!&lt;&gt;$N$6,IF(#REF!&lt;&gt;$N$7,TRUE)))))))))))</formula>
    </cfRule>
  </conditionalFormatting>
  <conditionalFormatting sqref="B170">
    <cfRule type="expression" dxfId="221" priority="88">
      <formula>IF(#REF!&lt;&gt;$H$6,IF(#REF!&lt;&gt;$H$7,IF(#REF!&lt;&gt;$H$8,IF(#REF!&lt;&gt;$I$6,IF(B170&lt;&gt;$I$7,IF(#REF!&lt;&gt;$I$8,IF(#REF!&lt;&gt;$L$6,IF(#REF!&lt;&gt;$L$7,IF(#REF!&lt;&gt;$L$8,IF(#REF!&lt;&gt;$N$6,IF(#REF!&lt;&gt;$N$7,TRUE)))))))))))</formula>
    </cfRule>
  </conditionalFormatting>
  <conditionalFormatting sqref="A176:A178">
    <cfRule type="expression" priority="86">
      <formula>IF(MOD(#REF!,10)&lt;10,MOD(#REF!,10),IF(#REF!/10&gt;8,MOD(#REF!,80),IF(#REF!/10&gt;7,MOD(#REF!,70),IF(#REF!/10&gt;6,MOD(#REF!,60),IF(#REF!/10&gt;5,MOD(#REF!,50),IF(#REF!/10&gt;4,MOD(#REF!,40),IF(#REF!/10&gt;3,MOD(#REF!,30),IF(#REF!/10&gt;2,MOD(#REF!,20),MOD(#REF!,100)))))))))</formula>
    </cfRule>
  </conditionalFormatting>
  <conditionalFormatting sqref="A179">
    <cfRule type="expression" priority="84">
      <formula>IF(MOD(A210,10)&lt;10,MOD(A210,10),IF(A210/10&gt;8,MOD(A210,80),IF(A210/10&gt;7,MOD(A210,70),IF(A210/10&gt;6,MOD(A210,60),IF(A210/10&gt;5,MOD(A210,50),IF(A210/10&gt;4,MOD(A210,40),IF(A210/10&gt;3,MOD(A210,30),IF(A210/10&gt;2,MOD(A210,20),MOD(A210,100)))))))))</formula>
    </cfRule>
  </conditionalFormatting>
  <conditionalFormatting sqref="A189">
    <cfRule type="expression" priority="82">
      <formula>IF(MOD(A219,10)&lt;10,MOD(A219,10),IF(A219/10&gt;8,MOD(A219,80),IF(A219/10&gt;7,MOD(A219,70),IF(A219/10&gt;6,MOD(A219,60),IF(A219/10&gt;5,MOD(A219,50),IF(A219/10&gt;4,MOD(A219,40),IF(A219/10&gt;3,MOD(A219,30),IF(A219/10&gt;2,MOD(A219,20),MOD(A219,100)))))))))</formula>
    </cfRule>
  </conditionalFormatting>
  <conditionalFormatting sqref="A187">
    <cfRule type="expression" priority="81">
      <formula>IF(MOD(A218,10)&lt;10,MOD(A218,10),IF(A218/10&gt;8,MOD(A218,80),IF(A218/10&gt;7,MOD(A218,70),IF(A218/10&gt;6,MOD(A218,60),IF(A218/10&gt;5,MOD(A218,50),IF(A218/10&gt;4,MOD(A218,40),IF(A218/10&gt;3,MOD(A218,30),IF(A218/10&gt;2,MOD(A218,20),MOD(A218,100)))))))))</formula>
    </cfRule>
  </conditionalFormatting>
  <conditionalFormatting sqref="B209">
    <cfRule type="expression" dxfId="220" priority="76">
      <formula>IF(#REF!&lt;&gt;$H$6,IF(#REF!&lt;&gt;$H$7,IF(#REF!&lt;&gt;$H$8,IF(#REF!&lt;&gt;$I$6,IF(#REF!&lt;&gt;$I$7,IF(#REF!&lt;&gt;$I$8,IF(#REF!&lt;&gt;$L$6,IF(#REF!&lt;&gt;$L$7,IF(#REF!&lt;&gt;$L$8,IF(#REF!&lt;&gt;#REF!,IF(#REF!&lt;&gt;$N$45,TRUE)))))))))))</formula>
    </cfRule>
  </conditionalFormatting>
  <conditionalFormatting sqref="A120">
    <cfRule type="expression" priority="73">
      <formula>IF(MOD(#REF!,10)&lt;10,MOD(#REF!,10),IF(#REF!/10&gt;8,MOD(#REF!,80),IF(#REF!/10&gt;7,MOD(#REF!,70),IF(#REF!/10&gt;6,MOD(#REF!,60),IF(#REF!/10&gt;5,MOD(#REF!,50),IF(#REF!/10&gt;4,MOD(#REF!,40),IF(#REF!/10&gt;3,MOD(#REF!,30),IF(#REF!/10&gt;2,MOD(#REF!,20),MOD(#REF!,100)))))))))</formula>
    </cfRule>
  </conditionalFormatting>
  <conditionalFormatting sqref="A111:A114 A117">
    <cfRule type="expression" priority="72">
      <formula>IF(MOD(A155,10)&lt;10,MOD(A155,10),IF(A155/10&gt;8,MOD(A155,80),IF(A155/10&gt;7,MOD(A155,70),IF(A155/10&gt;6,MOD(A155,60),IF(A155/10&gt;5,MOD(A155,50),IF(A155/10&gt;4,MOD(A155,40),IF(A155/10&gt;3,MOD(A155,30),IF(A155/10&gt;2,MOD(A155,20),MOD(A155,100)))))))))</formula>
    </cfRule>
  </conditionalFormatting>
  <conditionalFormatting sqref="A143">
    <cfRule type="expression" priority="70">
      <formula>IF(MOD(A146,10)&lt;10,MOD(A146,10),IF(A146/10&gt;8,MOD(A146,80),IF(A146/10&gt;7,MOD(A146,70),IF(A146/10&gt;6,MOD(A146,60),IF(A146/10&gt;5,MOD(A146,50),IF(A146/10&gt;4,MOD(A146,40),IF(A146/10&gt;3,MOD(A146,30),IF(A146/10&gt;2,MOD(A146,20),MOD(A146,100)))))))))</formula>
    </cfRule>
  </conditionalFormatting>
  <conditionalFormatting sqref="B174">
    <cfRule type="expression" dxfId="219" priority="67">
      <formula>IF(#REF!&lt;&gt;$H$6,IF(#REF!&lt;&gt;$H$7,IF(#REF!&lt;&gt;$H$8,IF(#REF!&lt;&gt;$I$6,IF(B174&lt;&gt;$I$7,IF(#REF!&lt;&gt;$I$8,IF(#REF!&lt;&gt;$L$6,IF(#REF!&lt;&gt;$L$7,IF(#REF!&lt;&gt;$L$8,IF(#REF!&lt;&gt;$N$6,IF(#REF!&lt;&gt;$N$7,TRUE)))))))))))</formula>
    </cfRule>
  </conditionalFormatting>
  <conditionalFormatting sqref="C107:C108">
    <cfRule type="duplicateValues" dxfId="218" priority="65"/>
  </conditionalFormatting>
  <conditionalFormatting sqref="A165">
    <cfRule type="expression" priority="63">
      <formula>IF(MOD(A171,10)&lt;10,MOD(A171,10),IF(A171/10&gt;8,MOD(A171,80),IF(A171/10&gt;7,MOD(A171,70),IF(A171/10&gt;6,MOD(A171,60),IF(A171/10&gt;5,MOD(A171,50),IF(A171/10&gt;4,MOD(A171,40),IF(A171/10&gt;3,MOD(A171,30),IF(A171/10&gt;2,MOD(A171,20),MOD(A171,100)))))))))</formula>
    </cfRule>
  </conditionalFormatting>
  <conditionalFormatting sqref="A155 A172:A173 A168:A169 A117">
    <cfRule type="expression" priority="59">
      <formula>IF(MOD(#REF!,10)&lt;10,MOD(#REF!,10),IF(#REF!/10&gt;8,MOD(#REF!,80),IF(#REF!/10&gt;7,MOD(#REF!,70),IF(#REF!/10&gt;6,MOD(#REF!,60),IF(#REF!/10&gt;5,MOD(#REF!,50),IF(#REF!/10&gt;4,MOD(#REF!,40),IF(#REF!/10&gt;3,MOD(#REF!,30),IF(#REF!/10&gt;2,MOD(#REF!,20),MOD(#REF!,100)))))))))</formula>
    </cfRule>
  </conditionalFormatting>
  <conditionalFormatting sqref="A162:A164 A135 A132 A128:A129">
    <cfRule type="expression" priority="58">
      <formula>IF(MOD(#REF!,10)&lt;10,MOD(#REF!,10),IF(#REF!/10&gt;8,MOD(#REF!,80),IF(#REF!/10&gt;7,MOD(#REF!,70),IF(#REF!/10&gt;6,MOD(#REF!,60),IF(#REF!/10&gt;5,MOD(#REF!,50),IF(#REF!/10&gt;4,MOD(#REF!,40),IF(#REF!/10&gt;3,MOD(#REF!,30),IF(#REF!/10&gt;2,MOD(#REF!,20),MOD(#REF!,100)))))))))</formula>
    </cfRule>
  </conditionalFormatting>
  <conditionalFormatting sqref="A128">
    <cfRule type="expression" priority="57">
      <formula>IF(MOD(#REF!,10)&lt;10,MOD(#REF!,10),IF(#REF!/10&gt;8,MOD(#REF!,80),IF(#REF!/10&gt;7,MOD(#REF!,70),IF(#REF!/10&gt;6,MOD(#REF!,60),IF(#REF!/10&gt;5,MOD(#REF!,50),IF(#REF!/10&gt;4,MOD(#REF!,40),IF(#REF!/10&gt;3,MOD(#REF!,30),IF(#REF!/10&gt;2,MOD(#REF!,20),MOD(#REF!,100)))))))))</formula>
    </cfRule>
  </conditionalFormatting>
  <conditionalFormatting sqref="A166 A139">
    <cfRule type="expression" priority="56">
      <formula>IF(MOD(A144,10)&lt;10,MOD(A144,10),IF(A144/10&gt;8,MOD(A144,80),IF(A144/10&gt;7,MOD(A144,70),IF(A144/10&gt;6,MOD(A144,60),IF(A144/10&gt;5,MOD(A144,50),IF(A144/10&gt;4,MOD(A144,40),IF(A144/10&gt;3,MOD(A144,30),IF(A144/10&gt;2,MOD(A144,20),MOD(A144,100)))))))))</formula>
    </cfRule>
  </conditionalFormatting>
  <conditionalFormatting sqref="A122">
    <cfRule type="expression" priority="55">
      <formula>IF(MOD(#REF!,10)&lt;10,MOD(#REF!,10),IF(#REF!/10&gt;8,MOD(#REF!,80),IF(#REF!/10&gt;7,MOD(#REF!,70),IF(#REF!/10&gt;6,MOD(#REF!,60),IF(#REF!/10&gt;5,MOD(#REF!,50),IF(#REF!/10&gt;4,MOD(#REF!,40),IF(#REF!/10&gt;3,MOD(#REF!,30),IF(#REF!/10&gt;2,MOD(#REF!,20),MOD(#REF!,100)))))))))</formula>
    </cfRule>
  </conditionalFormatting>
  <conditionalFormatting sqref="A130:A131 A144">
    <cfRule type="expression" priority="50">
      <formula>IF(MOD(#REF!,10)&lt;10,MOD(#REF!,10),IF(#REF!/10&gt;8,MOD(#REF!,80),IF(#REF!/10&gt;7,MOD(#REF!,70),IF(#REF!/10&gt;6,MOD(#REF!,60),IF(#REF!/10&gt;5,MOD(#REF!,50),IF(#REF!/10&gt;4,MOD(#REF!,40),IF(#REF!/10&gt;3,MOD(#REF!,30),IF(#REF!/10&gt;2,MOD(#REF!,20),MOD(#REF!,100)))))))))</formula>
    </cfRule>
  </conditionalFormatting>
  <conditionalFormatting sqref="A166">
    <cfRule type="expression" priority="49">
      <formula>IF(MOD(#REF!,10)&lt;10,MOD(#REF!,10),IF(#REF!/10&gt;8,MOD(#REF!,80),IF(#REF!/10&gt;7,MOD(#REF!,70),IF(#REF!/10&gt;6,MOD(#REF!,60),IF(#REF!/10&gt;5,MOD(#REF!,50),IF(#REF!/10&gt;4,MOD(#REF!,40),IF(#REF!/10&gt;3,MOD(#REF!,30),IF(#REF!/10&gt;2,MOD(#REF!,20),MOD(#REF!,100)))))))))</formula>
    </cfRule>
  </conditionalFormatting>
  <conditionalFormatting sqref="B214">
    <cfRule type="expression" dxfId="217" priority="46">
      <formula>IF($B208&lt;&gt;$H$6,IF($B208&lt;&gt;$H$7,IF($B208&lt;&gt;$H$8,IF($B208&lt;&gt;$I$6,IF(B214&lt;&gt;$I$7,IF($B208&lt;&gt;$I$8,IF($B208&lt;&gt;$L$6,IF($B208&lt;&gt;$L$7,IF($B208&lt;&gt;$L$8,IF($B208&lt;&gt;$N$6,IF($B208&lt;&gt;$N$7,TRUE)))))))))))</formula>
    </cfRule>
  </conditionalFormatting>
  <conditionalFormatting sqref="A175:A178">
    <cfRule type="expression" priority="44">
      <formula>IF(MOD(#REF!,10)&lt;10,MOD(#REF!,10),IF(#REF!/10&gt;8,MOD(#REF!,80),IF(#REF!/10&gt;7,MOD(#REF!,70),IF(#REF!/10&gt;6,MOD(#REF!,60),IF(#REF!/10&gt;5,MOD(#REF!,50),IF(#REF!/10&gt;4,MOD(#REF!,40),IF(#REF!/10&gt;3,MOD(#REF!,30),IF(#REF!/10&gt;2,MOD(#REF!,20),MOD(#REF!,100)))))))))</formula>
    </cfRule>
  </conditionalFormatting>
  <conditionalFormatting sqref="A139:A142">
    <cfRule type="expression" priority="40">
      <formula>IF(MOD(A157,10)&lt;10,MOD(A157,10),IF(A157/10&gt;8,MOD(A157,80),IF(A157/10&gt;7,MOD(A157,70),IF(A157/10&gt;6,MOD(A157,60),IF(A157/10&gt;5,MOD(A157,50),IF(A157/10&gt;4,MOD(A157,40),IF(A157/10&gt;3,MOD(A157,30),IF(A157/10&gt;2,MOD(A157,20),MOD(A157,100)))))))))</formula>
    </cfRule>
  </conditionalFormatting>
  <conditionalFormatting sqref="A150">
    <cfRule type="expression" priority="30">
      <formula>IF(MOD(A160,10)&lt;10,MOD(A160,10),IF(A160/10&gt;8,MOD(A160,80),IF(A160/10&gt;7,MOD(A160,70),IF(A160/10&gt;6,MOD(A160,60),IF(A160/10&gt;5,MOD(A160,50),IF(A160/10&gt;4,MOD(A160,40),IF(A160/10&gt;3,MOD(A160,30),IF(A160/10&gt;2,MOD(A160,20),MOD(A160,100)))))))))</formula>
    </cfRule>
  </conditionalFormatting>
  <conditionalFormatting sqref="H209 H222 H214:H215">
    <cfRule type="expression" dxfId="216" priority="28">
      <formula>IF(ISNUMBER(H209),IF(((YEAR(TODAY()))-12)&gt;=E209,FALSE,TRUE))</formula>
    </cfRule>
  </conditionalFormatting>
  <conditionalFormatting sqref="A190">
    <cfRule type="expression" priority="27">
      <formula>IF(MOD(A210,10)&lt;10,MOD(A210,10),IF(A210/10&gt;8,MOD(A210,80),IF(A210/10&gt;7,MOD(A210,70),IF(A210/10&gt;6,MOD(A210,60),IF(A210/10&gt;5,MOD(A210,50),IF(A210/10&gt;4,MOD(A210,40),IF(A210/10&gt;3,MOD(A210,30),IF(A210/10&gt;2,MOD(A210,20),MOD(A210,100)))))))))</formula>
    </cfRule>
  </conditionalFormatting>
  <conditionalFormatting sqref="A214 A204 A195:A200">
    <cfRule type="expression" priority="381">
      <formula>IF(MOD(#REF!,10)&lt;10,MOD(#REF!,10),IF(#REF!/10&gt;8,MOD(#REF!,80),IF(#REF!/10&gt;7,MOD(#REF!,70),IF(#REF!/10&gt;6,MOD(#REF!,60),IF(#REF!/10&gt;5,MOD(#REF!,50),IF(#REF!/10&gt;4,MOD(#REF!,40),IF(#REF!/10&gt;3,MOD(#REF!,30),IF(#REF!/10&gt;2,MOD(#REF!,20),MOD(#REF!,100)))))))))</formula>
    </cfRule>
  </conditionalFormatting>
  <conditionalFormatting sqref="A207:A219 A202:A203">
    <cfRule type="expression" priority="382">
      <formula>IF(MOD(#REF!,10)&lt;10,MOD(#REF!,10),IF(#REF!/10&gt;8,MOD(#REF!,80),IF(#REF!/10&gt;7,MOD(#REF!,70),IF(#REF!/10&gt;6,MOD(#REF!,60),IF(#REF!/10&gt;5,MOD(#REF!,50),IF(#REF!/10&gt;4,MOD(#REF!,40),IF(#REF!/10&gt;3,MOD(#REF!,30),IF(#REF!/10&gt;2,MOD(#REF!,20),MOD(#REF!,100)))))))))</formula>
    </cfRule>
  </conditionalFormatting>
  <conditionalFormatting sqref="K223:K225">
    <cfRule type="expression" dxfId="215" priority="388">
      <formula>IF(ISNUMBER(K223),IF(((YEAR(TODAY()))-12)&gt;=#REF!,FALSE,TRUE))</formula>
    </cfRule>
  </conditionalFormatting>
  <conditionalFormatting sqref="A220:A223 A201 A190:A191">
    <cfRule type="expression" priority="389">
      <formula>IF(MOD(#REF!,10)&lt;10,MOD(#REF!,10),IF(#REF!/10&gt;8,MOD(#REF!,80),IF(#REF!/10&gt;7,MOD(#REF!,70),IF(#REF!/10&gt;6,MOD(#REF!,60),IF(#REF!/10&gt;5,MOD(#REF!,50),IF(#REF!/10&gt;4,MOD(#REF!,40),IF(#REF!/10&gt;3,MOD(#REF!,30),IF(#REF!/10&gt;2,MOD(#REF!,20),MOD(#REF!,100)))))))))</formula>
    </cfRule>
  </conditionalFormatting>
  <conditionalFormatting sqref="A200">
    <cfRule type="expression" priority="603">
      <formula>IF(MOD(#REF!,10)&lt;10,MOD(#REF!,10),IF(#REF!/10&gt;8,MOD(#REF!,80),IF(#REF!/10&gt;7,MOD(#REF!,70),IF(#REF!/10&gt;6,MOD(#REF!,60),IF(#REF!/10&gt;5,MOD(#REF!,50),IF(#REF!/10&gt;4,MOD(#REF!,40),IF(#REF!/10&gt;3,MOD(#REF!,30),IF(#REF!/10&gt;2,MOD(#REF!,20),MOD(#REF!,100)))))))))</formula>
    </cfRule>
  </conditionalFormatting>
  <conditionalFormatting sqref="A196:A197">
    <cfRule type="expression" priority="677">
      <formula>IF(MOD(#REF!,10)&lt;10,MOD(#REF!,10),IF(#REF!/10&gt;8,MOD(#REF!,80),IF(#REF!/10&gt;7,MOD(#REF!,70),IF(#REF!/10&gt;6,MOD(#REF!,60),IF(#REF!/10&gt;5,MOD(#REF!,50),IF(#REF!/10&gt;4,MOD(#REF!,40),IF(#REF!/10&gt;3,MOD(#REF!,30),IF(#REF!/10&gt;2,MOD(#REF!,20),MOD(#REF!,100)))))))))</formula>
    </cfRule>
  </conditionalFormatting>
  <conditionalFormatting sqref="A140">
    <cfRule type="expression" priority="1489">
      <formula>IF(MOD(A170,10)&lt;10,MOD(A170,10),IF(A170/10&gt;8,MOD(A170,80),IF(A170/10&gt;7,MOD(A170,70),IF(A170/10&gt;6,MOD(A170,60),IF(A170/10&gt;5,MOD(A170,50),IF(A170/10&gt;4,MOD(A170,40),IF(A170/10&gt;3,MOD(A170,30),IF(A170/10&gt;2,MOD(A170,20),MOD(A170,100)))))))))</formula>
    </cfRule>
  </conditionalFormatting>
  <conditionalFormatting sqref="A137:A139">
    <cfRule type="expression" priority="1490">
      <formula>IF(MOD(#REF!,10)&lt;10,MOD(#REF!,10),IF(#REF!/10&gt;8,MOD(#REF!,80),IF(#REF!/10&gt;7,MOD(#REF!,70),IF(#REF!/10&gt;6,MOD(#REF!,60),IF(#REF!/10&gt;5,MOD(#REF!,50),IF(#REF!/10&gt;4,MOD(#REF!,40),IF(#REF!/10&gt;3,MOD(#REF!,30),IF(#REF!/10&gt;2,MOD(#REF!,20),MOD(#REF!,100)))))))))</formula>
    </cfRule>
  </conditionalFormatting>
  <conditionalFormatting sqref="A153 A155 A157 A159 A161 A163 A165">
    <cfRule type="expression" priority="1697">
      <formula>IF(MOD(#REF!,10)&lt;10,MOD(#REF!,10),IF(#REF!/10&gt;8,MOD(#REF!,80),IF(#REF!/10&gt;7,MOD(#REF!,70),IF(#REF!/10&gt;6,MOD(#REF!,60),IF(#REF!/10&gt;5,MOD(#REF!,50),IF(#REF!/10&gt;4,MOD(#REF!,40),IF(#REF!/10&gt;3,MOD(#REF!,30),IF(#REF!/10&gt;2,MOD(#REF!,20),MOD(#REF!,100)))))))))</formula>
    </cfRule>
  </conditionalFormatting>
  <conditionalFormatting sqref="A173">
    <cfRule type="expression" priority="1918">
      <formula>IF(MOD(#REF!,10)&lt;10,MOD(#REF!,10),IF(#REF!/10&gt;8,MOD(#REF!,80),IF(#REF!/10&gt;7,MOD(#REF!,70),IF(#REF!/10&gt;6,MOD(#REF!,60),IF(#REF!/10&gt;5,MOD(#REF!,50),IF(#REF!/10&gt;4,MOD(#REF!,40),IF(#REF!/10&gt;3,MOD(#REF!,30),IF(#REF!/10&gt;2,MOD(#REF!,20),MOD(#REF!,100)))))))))</formula>
    </cfRule>
  </conditionalFormatting>
  <conditionalFormatting sqref="A191:A192">
    <cfRule type="expression" priority="1952">
      <formula>IF(MOD(A215,10)&lt;10,MOD(A215,10),IF(A215/10&gt;8,MOD(A215,80),IF(A215/10&gt;7,MOD(A215,70),IF(A215/10&gt;6,MOD(A215,60),IF(A215/10&gt;5,MOD(A215,50),IF(A215/10&gt;4,MOD(A215,40),IF(A215/10&gt;3,MOD(A215,30),IF(A215/10&gt;2,MOD(A215,20),MOD(A215,100)))))))))</formula>
    </cfRule>
  </conditionalFormatting>
  <conditionalFormatting sqref="C204 C202">
    <cfRule type="duplicateValues" dxfId="214" priority="2178"/>
  </conditionalFormatting>
  <conditionalFormatting sqref="A181">
    <cfRule type="expression" priority="2409">
      <formula>IF(MOD(#REF!,10)&lt;10,MOD(#REF!,10),IF(#REF!/10&gt;8,MOD(#REF!,80),IF(#REF!/10&gt;7,MOD(#REF!,70),IF(#REF!/10&gt;6,MOD(#REF!,60),IF(#REF!/10&gt;5,MOD(#REF!,50),IF(#REF!/10&gt;4,MOD(#REF!,40),IF(#REF!/10&gt;3,MOD(#REF!,30),IF(#REF!/10&gt;2,MOD(#REF!,20),MOD(#REF!,100)))))))))</formula>
    </cfRule>
  </conditionalFormatting>
  <conditionalFormatting sqref="A182:A183 A353:A358">
    <cfRule type="expression" priority="2410">
      <formula>IF(MOD(A211,10)&lt;10,MOD(A211,10),IF(A211/10&gt;8,MOD(A211,80),IF(A211/10&gt;7,MOD(A211,70),IF(A211/10&gt;6,MOD(A211,60),IF(A211/10&gt;5,MOD(A211,50),IF(A211/10&gt;4,MOD(A211,40),IF(A211/10&gt;3,MOD(A211,30),IF(A211/10&gt;2,MOD(A211,20),MOD(A211,100)))))))))</formula>
    </cfRule>
  </conditionalFormatting>
  <conditionalFormatting sqref="A154">
    <cfRule type="expression" priority="8054">
      <formula>IF(MOD(A167,10)&lt;10,MOD(A167,10),IF(A167/10&gt;8,MOD(A167,80),IF(A167/10&gt;7,MOD(A167,70),IF(A167/10&gt;6,MOD(A167,60),IF(A167/10&gt;5,MOD(A167,50),IF(A167/10&gt;4,MOD(A167,40),IF(A167/10&gt;3,MOD(A167,30),IF(A167/10&gt;2,MOD(A167,20),MOD(A167,100)))))))))</formula>
    </cfRule>
  </conditionalFormatting>
  <conditionalFormatting sqref="A134">
    <cfRule type="expression" priority="8059">
      <formula>IF(MOD(#REF!,10)&lt;10,MOD(#REF!,10),IF(#REF!/10&gt;8,MOD(#REF!,80),IF(#REF!/10&gt;7,MOD(#REF!,70),IF(#REF!/10&gt;6,MOD(#REF!,60),IF(#REF!/10&gt;5,MOD(#REF!,50),IF(#REF!/10&gt;4,MOD(#REF!,40),IF(#REF!/10&gt;3,MOD(#REF!,30),IF(#REF!/10&gt;2,MOD(#REF!,20),MOD(#REF!,100)))))))))</formula>
    </cfRule>
  </conditionalFormatting>
  <conditionalFormatting sqref="A138">
    <cfRule type="expression" priority="8071">
      <formula>IF(MOD(A176,10)&lt;10,MOD(A176,10),IF(A176/10&gt;8,MOD(A176,80),IF(A176/10&gt;7,MOD(A176,70),IF(A176/10&gt;6,MOD(A176,60),IF(A176/10&gt;5,MOD(A176,50),IF(A176/10&gt;4,MOD(A176,40),IF(A176/10&gt;3,MOD(A176,30),IF(A176/10&gt;2,MOD(A176,20),MOD(A176,100)))))))))</formula>
    </cfRule>
  </conditionalFormatting>
  <conditionalFormatting sqref="A135:A136 A356:A357">
    <cfRule type="expression" priority="8072">
      <formula>IF(MOD(A167,10)&lt;10,MOD(A167,10),IF(A167/10&gt;8,MOD(A167,80),IF(A167/10&gt;7,MOD(A167,70),IF(A167/10&gt;6,MOD(A167,60),IF(A167/10&gt;5,MOD(A167,50),IF(A167/10&gt;4,MOD(A167,40),IF(A167/10&gt;3,MOD(A167,30),IF(A167/10&gt;2,MOD(A167,20),MOD(A167,100)))))))))</formula>
    </cfRule>
  </conditionalFormatting>
  <conditionalFormatting sqref="A364:A365">
    <cfRule type="expression" priority="13">
      <formula>IF(MOD(A397,10)&lt;10,MOD(A397,10),IF(A397/10&gt;8,MOD(A397,80),IF(A397/10&gt;7,MOD(A397,70),IF(A397/10&gt;6,MOD(A397,60),IF(A397/10&gt;5,MOD(A397,50),IF(A397/10&gt;4,MOD(A397,40),IF(A397/10&gt;3,MOD(A397,30),IF(A397/10&gt;2,MOD(A397,20),MOD(A397,100)))))))))</formula>
    </cfRule>
  </conditionalFormatting>
  <conditionalFormatting sqref="B357:B358 B360">
    <cfRule type="expression" dxfId="213" priority="9">
      <formula>IF(#REF!&lt;&gt;$I$6,IF(#REF!&lt;&gt;$I$7,IF(#REF!&lt;&gt;$I$8,IF(#REF!&lt;&gt;$J$6,IF(#REF!&lt;&gt;$J$7,IF(#REF!&lt;&gt;$J$8,IF(#REF!&lt;&gt;#REF!,IF(#REF!&lt;&gt;#REF!,IF(#REF!&lt;&gt;#REF!,IF(#REF!&lt;&gt;#REF!,IF(#REF!&lt;&gt;#REF!,TRUE)))))))))))</formula>
    </cfRule>
  </conditionalFormatting>
  <conditionalFormatting sqref="B365">
    <cfRule type="expression" dxfId="212" priority="7">
      <formula>IF(#REF!&lt;&gt;$I$6,IF(#REF!&lt;&gt;$I$7,IF(#REF!&lt;&gt;$I$8,IF(#REF!&lt;&gt;$J$6,IF(#REF!&lt;&gt;$J$7,IF(#REF!&lt;&gt;$J$8,IF(#REF!&lt;&gt;#REF!,IF(#REF!&lt;&gt;#REF!,IF(#REF!&lt;&gt;#REF!,IF(#REF!&lt;&gt;#REF!,IF(#REF!&lt;&gt;#REF!,TRUE)))))))))))</formula>
    </cfRule>
  </conditionalFormatting>
  <conditionalFormatting sqref="B364">
    <cfRule type="expression" dxfId="211" priority="6">
      <formula>IF(#REF!&lt;&gt;$H$6,IF(#REF!&lt;&gt;$H$7,IF(#REF!&lt;&gt;$H$8,IF(#REF!&lt;&gt;$I$6,IF(B364&lt;&gt;$I$7,IF(#REF!&lt;&gt;$I$8,IF(#REF!&lt;&gt;$L$6,IF(#REF!&lt;&gt;$L$7,IF(#REF!&lt;&gt;$L$8,IF(#REF!&lt;&gt;$N$6,IF(#REF!&lt;&gt;$N$7,TRUE)))))))))))</formula>
    </cfRule>
  </conditionalFormatting>
  <conditionalFormatting sqref="A362:A363">
    <cfRule type="expression" priority="5">
      <formula>IF(MOD(A392,10)&lt;10,MOD(A392,10),IF(A392/10&gt;8,MOD(A392,80),IF(A392/10&gt;7,MOD(A392,70),IF(A392/10&gt;6,MOD(A392,60),IF(A392/10&gt;5,MOD(A392,50),IF(A392/10&gt;4,MOD(A392,40),IF(A392/10&gt;3,MOD(A392,30),IF(A392/10&gt;2,MOD(A392,20),MOD(A392,100)))))))))</formula>
    </cfRule>
  </conditionalFormatting>
  <conditionalFormatting sqref="A368:A371">
    <cfRule type="expression" priority="4">
      <formula>IF(MOD(A401,10)&lt;10,MOD(A401,10),IF(A401/10&gt;8,MOD(A401,80),IF(A401/10&gt;7,MOD(A401,70),IF(A401/10&gt;6,MOD(A401,60),IF(A401/10&gt;5,MOD(A401,50),IF(A401/10&gt;4,MOD(A401,40),IF(A401/10&gt;3,MOD(A401,30),IF(A401/10&gt;2,MOD(A401,20),MOD(A401,100)))))))))</formula>
    </cfRule>
  </conditionalFormatting>
  <conditionalFormatting sqref="A352 A370:A374">
    <cfRule type="expression" priority="8375">
      <formula>IF(MOD(A374,10)&lt;10,MOD(A374,10),IF(A374/10&gt;8,MOD(A374,80),IF(A374/10&gt;7,MOD(A374,70),IF(A374/10&gt;6,MOD(A374,60),IF(A374/10&gt;5,MOD(A374,50),IF(A374/10&gt;4,MOD(A374,40),IF(A374/10&gt;3,MOD(A374,30),IF(A374/10&gt;2,MOD(A374,20),MOD(A374,100)))))))))</formula>
    </cfRule>
  </conditionalFormatting>
  <conditionalFormatting sqref="A362:A363">
    <cfRule type="expression" priority="8676">
      <formula>IF(MOD(A388,10)&lt;10,MOD(A388,10),IF(A388/10&gt;8,MOD(A388,80),IF(A388/10&gt;7,MOD(A388,70),IF(A388/10&gt;6,MOD(A388,60),IF(A388/10&gt;5,MOD(A388,50),IF(A388/10&gt;4,MOD(A388,40),IF(A388/10&gt;3,MOD(A388,30),IF(A388/10&gt;2,MOD(A388,20),MOD(A388,100)))))))))</formula>
    </cfRule>
  </conditionalFormatting>
  <conditionalFormatting sqref="A359:A361">
    <cfRule type="expression" priority="8677">
      <formula>IF(MOD(#REF!,10)&lt;10,MOD(#REF!,10),IF(#REF!/10&gt;8,MOD(#REF!,80),IF(#REF!/10&gt;7,MOD(#REF!,70),IF(#REF!/10&gt;6,MOD(#REF!,60),IF(#REF!/10&gt;5,MOD(#REF!,50),IF(#REF!/10&gt;4,MOD(#REF!,40),IF(#REF!/10&gt;3,MOD(#REF!,30),IF(#REF!/10&gt;2,MOD(#REF!,20),MOD(#REF!,100)))))))))</formula>
    </cfRule>
  </conditionalFormatting>
  <conditionalFormatting sqref="A369">
    <cfRule type="expression" priority="8983">
      <formula>IF(MOD(#REF!,10)&lt;10,MOD(#REF!,10),IF(#REF!/10&gt;8,MOD(#REF!,80),IF(#REF!/10&gt;7,MOD(#REF!,70),IF(#REF!/10&gt;6,MOD(#REF!,60),IF(#REF!/10&gt;5,MOD(#REF!,50),IF(#REF!/10&gt;4,MOD(#REF!,40),IF(#REF!/10&gt;3,MOD(#REF!,30),IF(#REF!/10&gt;2,MOD(#REF!,20),MOD(#REF!,100)))))))))</formula>
    </cfRule>
  </conditionalFormatting>
  <conditionalFormatting sqref="A358:A360">
    <cfRule type="expression" priority="11444">
      <formula>IF(MOD(#REF!,10)&lt;10,MOD(#REF!,10),IF(#REF!/10&gt;8,MOD(#REF!,80),IF(#REF!/10&gt;7,MOD(#REF!,70),IF(#REF!/10&gt;6,MOD(#REF!,60),IF(#REF!/10&gt;5,MOD(#REF!,50),IF(#REF!/10&gt;4,MOD(#REF!,40),IF(#REF!/10&gt;3,MOD(#REF!,30),IF(#REF!/10&gt;2,MOD(#REF!,20),MOD(#REF!,100)))))))))</formula>
    </cfRule>
  </conditionalFormatting>
  <pageMargins left="0" right="0" top="0.35433070866141736" bottom="1.1811023622047245" header="0" footer="0.11811023622047245"/>
  <pageSetup paperSize="9" orientation="portrait" r:id="rId1"/>
  <headerFooter scaleWithDoc="0" alignWithMargins="0">
    <oddHeader>&amp;R&amp;"Times New Roman,курсив"&amp;8Стр. &amp;P из &amp;N</oddHeader>
    <oddFooter>&amp;L&amp;"Times New Roman,полужирный курсив"Главный судья соревнований, судья всероссийской категорииГлавный секретарь соревнований, судья первой категории&amp;R&amp;"Times New Roman,полужирный курсив"Алдаев А.В.Реди Е.В.</oddFooter>
  </headerFooter>
  <rowBreaks count="2" manualBreakCount="2">
    <brk id="50" max="16383" man="1"/>
    <brk id="9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567"/>
  <sheetViews>
    <sheetView tabSelected="1" view="pageLayout" topLeftCell="A473" workbookViewId="0">
      <selection activeCell="H455" sqref="H455"/>
    </sheetView>
  </sheetViews>
  <sheetFormatPr defaultRowHeight="15"/>
  <cols>
    <col min="1" max="1" width="2.95703125" customWidth="1"/>
    <col min="2" max="2" width="6.58984375" customWidth="1"/>
    <col min="3" max="3" width="18.6953125" customWidth="1"/>
    <col min="4" max="4" width="13.71875" customWidth="1"/>
    <col min="5" max="5" width="6.72265625" customWidth="1"/>
    <col min="6" max="6" width="18.96484375" customWidth="1"/>
    <col min="7" max="7" width="6.05078125" customWidth="1"/>
    <col min="8" max="8" width="6.45703125" customWidth="1"/>
    <col min="9" max="9" width="7.80078125" customWidth="1"/>
    <col min="10" max="10" width="7.12890625" customWidth="1"/>
    <col min="11" max="11" width="5.109375" customWidth="1"/>
    <col min="12" max="14" width="0.671875" customWidth="1"/>
  </cols>
  <sheetData>
    <row r="1" spans="1:11" s="1254" customFormat="1">
      <c r="A1" s="1504"/>
      <c r="B1" s="1504"/>
      <c r="C1" s="1504"/>
      <c r="D1" s="1504"/>
      <c r="E1" s="1504"/>
      <c r="F1" s="1504"/>
      <c r="G1" s="1504"/>
      <c r="H1" s="1504"/>
      <c r="I1" s="1504"/>
      <c r="J1" s="1504"/>
      <c r="K1" s="1504"/>
    </row>
    <row r="2" spans="1:11" s="1254" customFormat="1">
      <c r="A2" s="1504"/>
      <c r="B2" s="1504"/>
      <c r="C2" s="1504"/>
      <c r="D2" s="1504"/>
      <c r="E2" s="1504"/>
      <c r="F2" s="1504"/>
      <c r="G2" s="1504"/>
      <c r="H2" s="1504"/>
      <c r="I2" s="1504"/>
      <c r="J2" s="1504"/>
      <c r="K2" s="1504"/>
    </row>
    <row r="3" spans="1:11" s="1254" customFormat="1">
      <c r="A3" s="1504"/>
      <c r="B3" s="1504"/>
      <c r="C3" s="1504"/>
      <c r="D3" s="1504"/>
      <c r="E3" s="1504"/>
      <c r="F3" s="1504"/>
      <c r="G3" s="1504"/>
      <c r="H3" s="1504"/>
      <c r="I3" s="1504"/>
      <c r="J3" s="1504"/>
      <c r="K3" s="1504"/>
    </row>
    <row r="4" spans="1:11" s="1254" customFormat="1" ht="12.75" customHeight="1">
      <c r="A4" s="533"/>
      <c r="B4" s="1216"/>
      <c r="C4" s="1216"/>
      <c r="D4" s="531"/>
      <c r="E4" s="586"/>
      <c r="F4" s="1216"/>
      <c r="G4" s="1216"/>
      <c r="H4" s="528"/>
      <c r="I4" s="528"/>
      <c r="J4" s="531"/>
      <c r="K4" s="558"/>
    </row>
    <row r="5" spans="1:11" s="1254" customFormat="1" ht="12.75" customHeight="1">
      <c r="A5" s="533"/>
      <c r="B5" s="1216"/>
      <c r="C5" s="1216"/>
      <c r="D5" s="531"/>
      <c r="E5" s="586"/>
      <c r="F5" s="1216"/>
      <c r="G5" s="1216"/>
      <c r="H5" s="528"/>
      <c r="I5" s="528"/>
      <c r="J5" s="531"/>
      <c r="K5" s="558"/>
    </row>
    <row r="6" spans="1:11" s="1254" customFormat="1" ht="12.75" customHeight="1">
      <c r="A6" s="533"/>
      <c r="B6" s="1216"/>
      <c r="C6" s="1216"/>
      <c r="D6" s="531"/>
      <c r="E6" s="586"/>
      <c r="F6" s="1216"/>
      <c r="G6" s="1216"/>
      <c r="H6" s="528"/>
      <c r="I6" s="528"/>
      <c r="J6" s="531"/>
      <c r="K6" s="558"/>
    </row>
    <row r="7" spans="1:11" s="1254" customFormat="1" ht="12.75" customHeight="1">
      <c r="A7" s="533"/>
      <c r="B7" s="1216"/>
      <c r="C7" s="1216"/>
      <c r="D7" s="531"/>
      <c r="E7" s="586"/>
      <c r="F7" s="1216"/>
      <c r="G7" s="1216"/>
      <c r="H7" s="528"/>
      <c r="I7" s="528"/>
      <c r="J7" s="531"/>
      <c r="K7" s="558"/>
    </row>
    <row r="8" spans="1:11" s="1254" customFormat="1" ht="12.75" customHeight="1">
      <c r="A8" s="533"/>
      <c r="B8" s="1216"/>
      <c r="C8" s="1216"/>
      <c r="D8" s="531"/>
      <c r="E8" s="586"/>
      <c r="F8" s="1216"/>
      <c r="G8" s="1216"/>
      <c r="H8" s="528"/>
      <c r="I8" s="528"/>
      <c r="J8" s="531"/>
      <c r="K8" s="558"/>
    </row>
    <row r="9" spans="1:11" s="1254" customFormat="1" ht="12.75" customHeight="1">
      <c r="A9" s="533"/>
      <c r="B9" s="1216"/>
      <c r="C9" s="1216"/>
      <c r="D9" s="531"/>
      <c r="E9" s="586"/>
      <c r="F9" s="1216"/>
      <c r="G9" s="1216"/>
      <c r="H9" s="528"/>
      <c r="I9" s="528"/>
      <c r="J9" s="531"/>
      <c r="K9" s="558"/>
    </row>
    <row r="10" spans="1:11" s="1254" customFormat="1" ht="12.75" customHeight="1">
      <c r="A10" s="533"/>
      <c r="B10" s="1216"/>
      <c r="C10" s="1216"/>
      <c r="D10" s="531"/>
      <c r="E10" s="586"/>
      <c r="F10" s="1216"/>
      <c r="G10" s="1216"/>
      <c r="H10" s="528"/>
      <c r="I10" s="528"/>
      <c r="J10" s="531"/>
      <c r="K10" s="558"/>
    </row>
    <row r="11" spans="1:11" s="1254" customFormat="1" ht="12.75" customHeight="1">
      <c r="A11" s="1216"/>
      <c r="B11" s="1216"/>
      <c r="C11" s="1216"/>
      <c r="D11" s="1216"/>
      <c r="E11" s="1216"/>
      <c r="F11" s="1216"/>
      <c r="G11" s="1216"/>
      <c r="H11" s="1216"/>
      <c r="I11" s="1216"/>
      <c r="J11" s="1216"/>
      <c r="K11" s="1216"/>
    </row>
    <row r="12" spans="1:11" s="1254" customFormat="1" ht="12.75" customHeight="1">
      <c r="A12" s="1216"/>
      <c r="B12" s="1216"/>
      <c r="C12" s="1216"/>
      <c r="D12" s="1216"/>
      <c r="E12" s="1216"/>
      <c r="F12" s="1216"/>
      <c r="G12" s="1216"/>
      <c r="H12" s="1216"/>
      <c r="I12" s="1216"/>
      <c r="J12" s="1216"/>
      <c r="K12" s="1216"/>
    </row>
    <row r="13" spans="1:11" s="1254" customFormat="1" ht="12.75" customHeight="1">
      <c r="A13" s="1216"/>
      <c r="B13" s="1216"/>
      <c r="C13" s="1216"/>
      <c r="D13" s="1216"/>
      <c r="E13" s="1216"/>
      <c r="F13" s="1216"/>
      <c r="G13" s="1216"/>
      <c r="H13" s="1216"/>
      <c r="I13" s="1216"/>
      <c r="J13" s="1216"/>
      <c r="K13" s="1216"/>
    </row>
    <row r="14" spans="1:11" s="1254" customFormat="1" ht="12.75" customHeight="1">
      <c r="A14" s="1216"/>
      <c r="B14" s="1216"/>
      <c r="C14" s="1216"/>
      <c r="D14" s="1216"/>
      <c r="E14" s="1216"/>
      <c r="F14" s="1216"/>
      <c r="G14" s="1216"/>
      <c r="H14" s="1216"/>
      <c r="I14" s="1216"/>
      <c r="J14" s="1216"/>
      <c r="K14" s="1216"/>
    </row>
    <row r="15" spans="1:11" s="1254" customFormat="1" ht="12.75" customHeight="1">
      <c r="A15" s="1216"/>
      <c r="B15" s="1216"/>
      <c r="C15" s="1216"/>
      <c r="D15" s="1216"/>
      <c r="E15" s="1216"/>
      <c r="F15" s="1216"/>
      <c r="G15" s="1216"/>
      <c r="H15" s="1216"/>
      <c r="I15" s="1216"/>
      <c r="J15" s="1216"/>
      <c r="K15" s="1216"/>
    </row>
    <row r="16" spans="1:11" s="1254" customFormat="1" ht="12.75" customHeight="1">
      <c r="A16" s="533"/>
      <c r="B16" s="1216"/>
      <c r="C16" s="1216"/>
      <c r="D16" s="531"/>
      <c r="E16" s="586"/>
      <c r="F16" s="1216"/>
      <c r="G16" s="1216"/>
      <c r="H16" s="528"/>
      <c r="I16" s="528"/>
      <c r="J16" s="531"/>
      <c r="K16" s="558"/>
    </row>
    <row r="17" spans="1:11" s="1254" customFormat="1" ht="12.75" customHeight="1">
      <c r="A17" s="1216"/>
      <c r="B17" s="1216"/>
      <c r="C17" s="1216"/>
      <c r="D17" s="1216"/>
      <c r="E17" s="1216"/>
      <c r="F17" s="1216"/>
      <c r="G17" s="1216"/>
      <c r="H17" s="1216"/>
      <c r="I17" s="1216"/>
      <c r="J17" s="1216"/>
      <c r="K17" s="1216"/>
    </row>
    <row r="18" spans="1:11" s="1254" customFormat="1" ht="12.75" customHeight="1">
      <c r="A18" s="1216"/>
      <c r="B18" s="1216"/>
      <c r="C18" s="1216"/>
      <c r="D18" s="1216"/>
      <c r="E18" s="1216"/>
      <c r="F18" s="1216"/>
      <c r="G18" s="1216"/>
      <c r="H18" s="1216"/>
      <c r="I18" s="1216"/>
      <c r="J18" s="1216"/>
      <c r="K18" s="1216"/>
    </row>
    <row r="19" spans="1:11" s="1254" customFormat="1" ht="12.75" customHeight="1">
      <c r="A19" s="1216"/>
      <c r="B19" s="1216"/>
      <c r="C19" s="1216"/>
      <c r="D19" s="1216"/>
      <c r="E19" s="1216"/>
      <c r="F19" s="1216"/>
      <c r="G19" s="1216"/>
      <c r="H19" s="1216"/>
      <c r="I19" s="1216"/>
      <c r="J19" s="1216"/>
      <c r="K19" s="1216"/>
    </row>
    <row r="20" spans="1:11" s="1254" customFormat="1" ht="12.75" customHeight="1">
      <c r="A20" s="1216"/>
      <c r="B20" s="1216"/>
      <c r="C20" s="1216"/>
      <c r="D20" s="1216"/>
      <c r="E20" s="1216"/>
      <c r="F20" s="1216"/>
      <c r="G20" s="1216"/>
      <c r="H20" s="1216"/>
      <c r="I20" s="1216"/>
      <c r="J20" s="1216"/>
      <c r="K20" s="1216"/>
    </row>
    <row r="21" spans="1:11" s="1254" customFormat="1" ht="16.5" customHeight="1">
      <c r="A21" s="1216"/>
      <c r="B21" s="1216"/>
      <c r="C21" s="1216"/>
      <c r="D21" s="1216"/>
      <c r="E21" s="1216"/>
      <c r="F21" s="1216"/>
      <c r="G21" s="1216"/>
      <c r="H21" s="1216"/>
      <c r="I21" s="1216"/>
      <c r="J21" s="1216"/>
      <c r="K21" s="1216"/>
    </row>
    <row r="22" spans="1:11" s="1254" customFormat="1" ht="46.5" customHeight="1">
      <c r="A22" s="1505" t="s">
        <v>1427</v>
      </c>
      <c r="B22" s="1505"/>
      <c r="C22" s="1505"/>
      <c r="D22" s="1505"/>
      <c r="E22" s="1505"/>
      <c r="F22" s="1505"/>
      <c r="G22" s="1505"/>
      <c r="H22" s="1505"/>
      <c r="I22" s="1505"/>
      <c r="J22" s="1505"/>
      <c r="K22" s="1505"/>
    </row>
    <row r="23" spans="1:11" s="1254" customFormat="1" ht="21">
      <c r="A23" s="1506" t="s">
        <v>258</v>
      </c>
      <c r="B23" s="1506"/>
      <c r="C23" s="1506"/>
      <c r="D23" s="1506"/>
      <c r="E23" s="1506"/>
      <c r="F23" s="1506"/>
      <c r="G23" s="1506"/>
      <c r="H23" s="1506"/>
      <c r="I23" s="1506"/>
      <c r="J23" s="1506"/>
      <c r="K23" s="1506"/>
    </row>
    <row r="24" spans="1:11" s="1254" customFormat="1" ht="12.75" customHeight="1">
      <c r="A24" s="1274"/>
      <c r="B24" s="1274"/>
      <c r="C24" s="1274"/>
      <c r="D24" s="1274"/>
      <c r="E24" s="1274"/>
      <c r="F24" s="1274"/>
      <c r="G24" s="1274"/>
      <c r="H24" s="1274"/>
      <c r="I24" s="1274"/>
      <c r="J24" s="1274"/>
      <c r="K24" s="1274"/>
    </row>
    <row r="25" spans="1:11" s="1254" customFormat="1" ht="22.5" customHeight="1">
      <c r="A25" s="1503"/>
      <c r="B25" s="1503"/>
      <c r="C25" s="1503"/>
      <c r="D25" s="1503"/>
      <c r="E25" s="1503"/>
      <c r="F25" s="1503"/>
      <c r="G25" s="1503"/>
      <c r="H25" s="1503"/>
      <c r="I25" s="1503"/>
      <c r="J25" s="1503"/>
      <c r="K25" s="1503"/>
    </row>
    <row r="26" spans="1:11" s="1254" customFormat="1" ht="12.75" customHeight="1">
      <c r="A26" s="533"/>
      <c r="B26" s="1216"/>
      <c r="C26" s="1216"/>
      <c r="D26" s="531"/>
      <c r="E26" s="586"/>
      <c r="F26" s="1216"/>
      <c r="G26" s="1216"/>
      <c r="H26" s="528"/>
      <c r="I26" s="528"/>
      <c r="J26" s="531"/>
      <c r="K26" s="558"/>
    </row>
    <row r="27" spans="1:11" s="1254" customFormat="1" ht="12.75" customHeight="1">
      <c r="A27" s="533"/>
      <c r="B27" s="1216"/>
      <c r="C27" s="1216"/>
      <c r="D27" s="531"/>
      <c r="E27" s="586"/>
      <c r="F27" s="1216"/>
      <c r="G27" s="1216"/>
      <c r="H27" s="528"/>
      <c r="I27" s="528"/>
      <c r="J27" s="531"/>
      <c r="K27" s="558"/>
    </row>
    <row r="28" spans="1:11" s="1254" customFormat="1" ht="12.75" customHeight="1">
      <c r="A28" s="533"/>
      <c r="B28" s="1216"/>
      <c r="C28" s="1216"/>
      <c r="D28" s="531"/>
      <c r="E28" s="586"/>
      <c r="F28" s="1216"/>
      <c r="G28" s="1216"/>
      <c r="H28" s="528"/>
      <c r="I28" s="528"/>
      <c r="J28" s="531"/>
      <c r="K28" s="558"/>
    </row>
    <row r="29" spans="1:11" s="1254" customFormat="1" ht="12.75" customHeight="1">
      <c r="A29" s="533"/>
      <c r="B29" s="1216"/>
      <c r="C29" s="1216"/>
      <c r="D29" s="531"/>
      <c r="E29" s="586"/>
      <c r="F29" s="1216"/>
      <c r="G29" s="1216"/>
      <c r="H29" s="528"/>
      <c r="I29" s="528"/>
      <c r="J29" s="531"/>
      <c r="K29" s="558"/>
    </row>
    <row r="30" spans="1:11" s="1254" customFormat="1" ht="12.75" customHeight="1">
      <c r="A30" s="533"/>
      <c r="B30" s="1216"/>
      <c r="C30" s="1216"/>
      <c r="D30" s="531"/>
      <c r="E30" s="586"/>
      <c r="F30" s="1216"/>
      <c r="G30" s="1216"/>
      <c r="H30" s="528"/>
      <c r="I30" s="528"/>
      <c r="J30" s="531"/>
      <c r="K30" s="558"/>
    </row>
    <row r="31" spans="1:11" s="1254" customFormat="1" ht="12.75" customHeight="1">
      <c r="A31" s="533"/>
      <c r="B31" s="1216"/>
      <c r="C31" s="1216"/>
      <c r="D31" s="531"/>
      <c r="E31" s="586"/>
      <c r="F31" s="1216"/>
      <c r="G31" s="1216"/>
      <c r="H31" s="528"/>
      <c r="I31" s="528"/>
      <c r="J31" s="531"/>
      <c r="K31" s="558"/>
    </row>
    <row r="32" spans="1:11" s="1254" customFormat="1" ht="16.5" customHeight="1">
      <c r="A32" s="533"/>
      <c r="B32" s="1216"/>
      <c r="C32" s="1216"/>
      <c r="D32" s="531"/>
      <c r="E32" s="586"/>
      <c r="F32" s="1216"/>
      <c r="G32" s="1216"/>
      <c r="H32" s="528"/>
      <c r="I32" s="528"/>
      <c r="J32" s="531"/>
      <c r="K32" s="558"/>
    </row>
    <row r="33" spans="1:13" s="1254" customFormat="1" ht="16.5" customHeight="1">
      <c r="A33" s="533"/>
      <c r="B33" s="1216"/>
      <c r="C33" s="1216"/>
      <c r="D33" s="531"/>
      <c r="E33" s="586"/>
      <c r="F33" s="1216"/>
      <c r="G33" s="1216"/>
      <c r="H33" s="528"/>
      <c r="I33" s="528"/>
      <c r="J33" s="531"/>
      <c r="K33" s="558"/>
    </row>
    <row r="34" spans="1:13" s="1254" customFormat="1" ht="16.5" customHeight="1">
      <c r="A34" s="533"/>
      <c r="B34" s="1216"/>
      <c r="C34" s="1216"/>
      <c r="D34" s="531"/>
      <c r="E34" s="586"/>
      <c r="F34" s="1216"/>
      <c r="G34" s="1216"/>
      <c r="H34" s="528"/>
      <c r="I34" s="528"/>
      <c r="J34" s="531"/>
      <c r="K34" s="558"/>
    </row>
    <row r="35" spans="1:13" s="1254" customFormat="1" ht="12.75" customHeight="1">
      <c r="A35" s="533"/>
      <c r="B35" s="1216"/>
      <c r="C35" s="1216"/>
      <c r="D35" s="531"/>
      <c r="E35" s="586"/>
      <c r="F35" s="1216"/>
      <c r="G35" s="1216"/>
      <c r="H35" s="528"/>
      <c r="I35" s="528"/>
      <c r="J35" s="531"/>
      <c r="K35" s="558"/>
    </row>
    <row r="36" spans="1:13" s="1254" customFormat="1" ht="12.75" customHeight="1">
      <c r="A36" s="533"/>
      <c r="B36" s="1216"/>
      <c r="C36" s="1216"/>
      <c r="D36" s="531"/>
      <c r="E36" s="586"/>
      <c r="F36" s="1216"/>
      <c r="G36" s="1216"/>
      <c r="H36" s="528"/>
      <c r="I36" s="528"/>
      <c r="J36" s="531"/>
      <c r="K36" s="558"/>
    </row>
    <row r="37" spans="1:13" s="1254" customFormat="1" ht="12.75" customHeight="1">
      <c r="A37" s="533"/>
      <c r="B37" s="1216"/>
      <c r="C37" s="1216"/>
      <c r="D37" s="531"/>
      <c r="E37" s="586"/>
      <c r="F37" s="1216"/>
      <c r="G37" s="1216"/>
      <c r="H37" s="528"/>
      <c r="I37" s="528"/>
      <c r="J37" s="531"/>
      <c r="K37" s="558"/>
    </row>
    <row r="38" spans="1:13" s="1254" customFormat="1" ht="12.75" customHeight="1">
      <c r="A38" s="533"/>
      <c r="B38" s="1216"/>
      <c r="C38" s="1216"/>
      <c r="D38" s="531"/>
      <c r="E38" s="586"/>
      <c r="F38" s="1216"/>
      <c r="G38" s="1216"/>
      <c r="H38" s="528"/>
      <c r="I38" s="528"/>
      <c r="J38" s="531"/>
      <c r="K38" s="558"/>
    </row>
    <row r="39" spans="1:13" s="1254" customFormat="1" ht="12.75" customHeight="1">
      <c r="A39" s="533"/>
      <c r="B39" s="1216"/>
      <c r="C39" s="1216"/>
      <c r="D39" s="531"/>
      <c r="E39" s="586"/>
      <c r="F39" s="1216"/>
      <c r="G39" s="1216"/>
      <c r="H39" s="528"/>
      <c r="I39" s="528"/>
      <c r="J39" s="531"/>
      <c r="K39" s="558"/>
    </row>
    <row r="40" spans="1:13" s="1254" customFormat="1" ht="12.75" customHeight="1">
      <c r="A40" s="533"/>
      <c r="B40" s="1216"/>
      <c r="C40" s="1216"/>
      <c r="D40" s="531"/>
      <c r="E40" s="586"/>
      <c r="F40" s="1216"/>
      <c r="G40" s="1216"/>
      <c r="H40" s="528"/>
      <c r="I40" s="528"/>
      <c r="J40" s="531"/>
      <c r="K40" s="558"/>
    </row>
    <row r="41" spans="1:13" s="1254" customFormat="1" ht="12.75" customHeight="1">
      <c r="A41" s="533"/>
      <c r="B41" s="1216"/>
      <c r="C41" s="1216"/>
      <c r="D41" s="531"/>
      <c r="E41" s="586"/>
      <c r="F41" s="1216"/>
      <c r="G41" s="1216"/>
      <c r="H41" s="528"/>
      <c r="I41" s="528"/>
      <c r="J41" s="531"/>
      <c r="K41" s="558"/>
    </row>
    <row r="42" spans="1:13" s="1254" customFormat="1" ht="12.75" customHeight="1">
      <c r="A42" s="533"/>
      <c r="B42" s="1216"/>
      <c r="C42" s="1216"/>
      <c r="D42" s="531"/>
      <c r="E42" s="586"/>
      <c r="F42" s="1216"/>
      <c r="G42" s="1216"/>
      <c r="H42" s="528"/>
      <c r="I42" s="528"/>
      <c r="J42" s="531"/>
      <c r="K42" s="558"/>
    </row>
    <row r="43" spans="1:13" s="1254" customFormat="1" ht="12.75" customHeight="1">
      <c r="A43" s="533"/>
      <c r="B43" s="1216"/>
      <c r="C43" s="1216"/>
      <c r="D43" s="531"/>
      <c r="E43" s="586"/>
      <c r="F43" s="1216"/>
      <c r="G43" s="1216"/>
      <c r="H43" s="528"/>
      <c r="I43" s="528"/>
      <c r="J43" s="531"/>
      <c r="K43" s="558"/>
    </row>
    <row r="44" spans="1:13" s="1254" customFormat="1" ht="12.75" customHeight="1">
      <c r="A44" s="167"/>
      <c r="B44" s="168"/>
      <c r="C44" s="169"/>
      <c r="D44" s="169"/>
      <c r="E44" s="169"/>
      <c r="F44" s="169"/>
      <c r="G44" s="169"/>
      <c r="H44" s="1255"/>
      <c r="I44" s="168"/>
      <c r="J44" s="170"/>
    </row>
    <row r="45" spans="1:13" s="1254" customFormat="1" ht="12.75" customHeight="1">
      <c r="A45" s="167"/>
      <c r="B45" s="168"/>
      <c r="C45" s="169"/>
      <c r="D45" s="169"/>
      <c r="E45" s="169"/>
      <c r="F45" s="169"/>
      <c r="G45" s="169"/>
      <c r="H45" s="1255"/>
      <c r="I45" s="168"/>
      <c r="J45" s="170"/>
    </row>
    <row r="46" spans="1:13" s="1254" customFormat="1" ht="12.75" customHeight="1">
      <c r="A46" s="167"/>
      <c r="B46" s="168"/>
      <c r="C46" s="169"/>
      <c r="D46" s="169"/>
      <c r="E46" s="169"/>
      <c r="F46" s="169"/>
      <c r="G46" s="169"/>
      <c r="H46" s="1255"/>
      <c r="I46" s="168"/>
      <c r="J46" s="170"/>
    </row>
    <row r="47" spans="1:13" s="1254" customFormat="1" ht="12.75" customHeight="1">
      <c r="A47" s="533"/>
      <c r="B47" s="1216"/>
      <c r="C47" s="1510" t="s">
        <v>1556</v>
      </c>
      <c r="D47" s="1510"/>
      <c r="E47" s="1510"/>
      <c r="F47" s="1510"/>
      <c r="G47" s="1510"/>
      <c r="H47" s="1510"/>
      <c r="I47" s="1217"/>
      <c r="J47" s="1217"/>
      <c r="K47" s="1256"/>
      <c r="L47" s="1256"/>
      <c r="M47" s="1256"/>
    </row>
    <row r="48" spans="1:13" s="1254" customFormat="1" ht="12.75" customHeight="1">
      <c r="A48" s="533"/>
      <c r="B48" s="1216"/>
      <c r="C48" s="1510"/>
      <c r="D48" s="1510"/>
      <c r="E48" s="1510"/>
      <c r="F48" s="1510"/>
      <c r="G48" s="1510"/>
      <c r="H48" s="1510"/>
      <c r="I48" s="1218"/>
      <c r="J48" s="1218"/>
      <c r="K48" s="1218"/>
      <c r="L48" s="1218"/>
      <c r="M48" s="1218"/>
    </row>
    <row r="49" spans="1:11" s="1254" customFormat="1" ht="12.75" customHeight="1">
      <c r="A49" s="533"/>
      <c r="B49" s="1216"/>
      <c r="C49" s="1216"/>
      <c r="D49" s="531"/>
      <c r="E49" s="586"/>
      <c r="F49" s="1216"/>
      <c r="G49" s="1216"/>
      <c r="H49" s="528"/>
      <c r="I49" s="528"/>
      <c r="J49" s="531"/>
      <c r="K49" s="558"/>
    </row>
    <row r="50" spans="1:11" s="1254" customFormat="1" ht="32.25" customHeight="1"/>
    <row r="51" spans="1:11" ht="9" customHeight="1">
      <c r="A51" s="6"/>
      <c r="B51" s="7"/>
      <c r="C51" s="1511">
        <f>$A$1</f>
        <v>0</v>
      </c>
      <c r="D51" s="1511"/>
      <c r="E51" s="1511"/>
      <c r="F51" s="1511"/>
      <c r="G51" s="1511"/>
      <c r="H51" s="1511"/>
      <c r="I51" s="1511"/>
      <c r="J51" s="1511"/>
      <c r="K51" s="1511"/>
    </row>
    <row r="52" spans="1:11" ht="12.75" customHeight="1">
      <c r="A52" s="6"/>
      <c r="B52" s="7"/>
      <c r="C52" s="1511">
        <f>$A$2</f>
        <v>0</v>
      </c>
      <c r="D52" s="1511"/>
      <c r="E52" s="1511"/>
      <c r="F52" s="1511"/>
      <c r="G52" s="1511"/>
      <c r="H52" s="1511"/>
      <c r="I52" s="1511"/>
      <c r="J52" s="1511"/>
      <c r="K52" s="1511"/>
    </row>
    <row r="53" spans="1:11" ht="12.75" customHeight="1">
      <c r="A53" s="6"/>
      <c r="B53" s="7"/>
      <c r="C53" s="1511">
        <f>$A$3</f>
        <v>0</v>
      </c>
      <c r="D53" s="1511"/>
      <c r="E53" s="1511"/>
      <c r="F53" s="1511"/>
      <c r="G53" s="1511"/>
      <c r="H53" s="1511"/>
      <c r="I53" s="1511"/>
      <c r="J53" s="1511"/>
      <c r="K53" s="1511"/>
    </row>
    <row r="54" spans="1:11" ht="41.25" customHeight="1">
      <c r="A54" s="1505" t="str">
        <f>$A$22</f>
        <v>Всероссийские соревнования среди студентов</v>
      </c>
      <c r="B54" s="1505"/>
      <c r="C54" s="1505"/>
      <c r="D54" s="1505"/>
      <c r="E54" s="1505"/>
      <c r="F54" s="1505"/>
      <c r="G54" s="1505"/>
      <c r="H54" s="1505"/>
      <c r="I54" s="1505"/>
      <c r="J54" s="1505"/>
      <c r="K54" s="1505"/>
    </row>
    <row r="55" spans="1:11" ht="21" customHeight="1">
      <c r="A55" s="1512" t="str">
        <f>$A$23</f>
        <v>по подводному спорту (1460008511Я) (плавание в ластах)</v>
      </c>
      <c r="B55" s="1513"/>
      <c r="C55" s="1513"/>
      <c r="D55" s="1513"/>
      <c r="E55" s="1513"/>
      <c r="F55" s="1513"/>
      <c r="G55" s="1513"/>
      <c r="H55" s="1513"/>
      <c r="I55" s="1513"/>
      <c r="J55" s="1513"/>
      <c r="K55" s="1513"/>
    </row>
    <row r="56" spans="1:11" ht="29.25" customHeight="1">
      <c r="A56" s="1508" t="s">
        <v>1557</v>
      </c>
      <c r="B56" s="1508"/>
      <c r="C56" s="1508"/>
      <c r="D56" s="9"/>
      <c r="E56" s="1201"/>
      <c r="F56" s="1509" t="str">
        <f>$C$47</f>
        <v>г. Красноярск, бассейн ДВС СибГУ, 50 м</v>
      </c>
      <c r="G56" s="1509"/>
      <c r="H56" s="1509"/>
      <c r="I56" s="1509"/>
      <c r="J56" s="1509"/>
    </row>
    <row r="57" spans="1:11" ht="20.25" customHeight="1">
      <c r="A57" s="1519" t="s">
        <v>1558</v>
      </c>
      <c r="B57" s="1519"/>
      <c r="C57" s="1519"/>
      <c r="D57" s="1519"/>
      <c r="E57" s="1519"/>
      <c r="F57" s="1519"/>
      <c r="G57" s="1519"/>
      <c r="H57" s="1519"/>
      <c r="I57" s="1519"/>
      <c r="J57" s="1519"/>
      <c r="K57" s="1519"/>
    </row>
    <row r="58" spans="1:11" ht="27" customHeight="1">
      <c r="A58" s="1257" t="s">
        <v>0</v>
      </c>
      <c r="B58" s="1537" t="s">
        <v>1559</v>
      </c>
      <c r="C58" s="1537"/>
      <c r="D58" s="1538"/>
      <c r="E58" s="1539" t="s">
        <v>1560</v>
      </c>
      <c r="F58" s="1537"/>
      <c r="G58" s="1537"/>
      <c r="H58" s="1258" t="s">
        <v>1561</v>
      </c>
      <c r="I58" s="1540" t="s">
        <v>1562</v>
      </c>
      <c r="J58" s="1541"/>
      <c r="K58" s="1541"/>
    </row>
    <row r="59" spans="1:11" ht="9" customHeight="1">
      <c r="A59" s="1259"/>
      <c r="B59" s="1259"/>
      <c r="C59" s="1260"/>
      <c r="D59" s="1260"/>
      <c r="E59" s="1260"/>
      <c r="F59" s="1259"/>
      <c r="G59" s="1260"/>
      <c r="H59" s="1260"/>
      <c r="I59" s="1261"/>
      <c r="J59" s="1260"/>
      <c r="K59" s="1262"/>
    </row>
    <row r="60" spans="1:11" ht="15" customHeight="1">
      <c r="A60" s="1263">
        <v>1</v>
      </c>
      <c r="B60" s="1264" t="s">
        <v>2</v>
      </c>
      <c r="C60" s="1263"/>
      <c r="D60" s="586"/>
      <c r="E60" s="13" t="s">
        <v>1563</v>
      </c>
      <c r="F60" s="15"/>
      <c r="G60" s="1263"/>
      <c r="H60" s="1265" t="s">
        <v>1564</v>
      </c>
      <c r="I60" s="13" t="s">
        <v>1565</v>
      </c>
      <c r="J60" s="1263"/>
      <c r="K60" s="1263"/>
    </row>
    <row r="61" spans="1:11" ht="15" customHeight="1">
      <c r="A61" s="1263">
        <v>2</v>
      </c>
      <c r="B61" s="1264" t="s">
        <v>1566</v>
      </c>
      <c r="C61" s="1263"/>
      <c r="D61" s="586"/>
      <c r="E61" s="13" t="s">
        <v>1567</v>
      </c>
      <c r="F61" s="15"/>
      <c r="G61" s="1263"/>
      <c r="H61" s="1265"/>
      <c r="I61" s="13" t="s">
        <v>1565</v>
      </c>
      <c r="J61" s="586"/>
      <c r="K61" s="586"/>
    </row>
    <row r="62" spans="1:11">
      <c r="A62" s="1263">
        <v>3</v>
      </c>
      <c r="B62" s="1264" t="s">
        <v>1568</v>
      </c>
      <c r="C62" s="1263"/>
      <c r="D62" s="586"/>
      <c r="E62" s="13" t="s">
        <v>1569</v>
      </c>
      <c r="F62" s="15"/>
      <c r="G62" s="1263"/>
      <c r="H62" s="1265" t="s">
        <v>1564</v>
      </c>
      <c r="I62" s="13" t="s">
        <v>1565</v>
      </c>
      <c r="J62" s="586"/>
      <c r="K62" s="586"/>
    </row>
    <row r="63" spans="1:11">
      <c r="A63" s="1263">
        <v>4</v>
      </c>
      <c r="B63" s="1264" t="s">
        <v>1570</v>
      </c>
      <c r="C63" s="1263"/>
      <c r="D63" s="586"/>
      <c r="E63" s="13" t="s">
        <v>1571</v>
      </c>
      <c r="F63" s="15"/>
      <c r="G63" s="1263"/>
      <c r="H63" s="1265" t="s">
        <v>1572</v>
      </c>
      <c r="I63" s="13" t="s">
        <v>1565</v>
      </c>
      <c r="J63" s="586"/>
      <c r="K63" s="586"/>
    </row>
    <row r="64" spans="1:11" ht="15" customHeight="1">
      <c r="A64" s="1263">
        <v>5</v>
      </c>
      <c r="B64" s="1264" t="s">
        <v>1573</v>
      </c>
      <c r="C64" s="1263"/>
      <c r="D64" s="586"/>
      <c r="E64" s="13" t="s">
        <v>1574</v>
      </c>
      <c r="F64" s="15"/>
      <c r="G64" s="1263"/>
      <c r="H64" s="1265" t="s">
        <v>1564</v>
      </c>
      <c r="I64" s="13" t="s">
        <v>1565</v>
      </c>
      <c r="J64" s="1263"/>
      <c r="K64" s="1263"/>
    </row>
    <row r="65" spans="1:11" ht="15" customHeight="1">
      <c r="A65" s="1263">
        <v>6</v>
      </c>
      <c r="B65" s="1264" t="s">
        <v>1575</v>
      </c>
      <c r="C65" s="1263"/>
      <c r="D65" s="586"/>
      <c r="E65" s="13" t="s">
        <v>1576</v>
      </c>
      <c r="F65" s="15"/>
      <c r="G65" s="1263"/>
      <c r="H65" s="1265" t="s">
        <v>1577</v>
      </c>
      <c r="I65" s="13" t="s">
        <v>1565</v>
      </c>
      <c r="J65" s="1263"/>
      <c r="K65" s="1263"/>
    </row>
    <row r="66" spans="1:11" ht="15" customHeight="1">
      <c r="A66" s="1263">
        <v>7</v>
      </c>
      <c r="B66" s="1264" t="s">
        <v>1578</v>
      </c>
      <c r="C66" s="1263"/>
      <c r="D66" s="586"/>
      <c r="E66" s="13" t="s">
        <v>1579</v>
      </c>
      <c r="F66" s="15"/>
      <c r="G66" s="1263"/>
      <c r="H66" s="1265" t="s">
        <v>1580</v>
      </c>
      <c r="I66" s="13" t="s">
        <v>1565</v>
      </c>
      <c r="J66" s="586"/>
      <c r="K66" s="586"/>
    </row>
    <row r="67" spans="1:11" ht="15" customHeight="1">
      <c r="A67" s="1263">
        <v>8</v>
      </c>
      <c r="B67" s="1264" t="s">
        <v>1581</v>
      </c>
      <c r="C67" s="1263"/>
      <c r="D67" s="586"/>
      <c r="E67" s="13" t="s">
        <v>1582</v>
      </c>
      <c r="F67" s="15"/>
      <c r="G67" s="1263"/>
      <c r="H67" s="1265" t="s">
        <v>1580</v>
      </c>
      <c r="I67" s="13" t="s">
        <v>1565</v>
      </c>
      <c r="J67" s="1263"/>
      <c r="K67" s="1263"/>
    </row>
    <row r="68" spans="1:11" ht="15" customHeight="1">
      <c r="A68" s="1263">
        <v>9</v>
      </c>
      <c r="B68" s="1264" t="s">
        <v>1583</v>
      </c>
      <c r="C68" s="1263"/>
      <c r="D68" s="586"/>
      <c r="E68" s="13" t="s">
        <v>1584</v>
      </c>
      <c r="F68" s="15"/>
      <c r="G68" s="1263"/>
      <c r="H68" s="1265" t="s">
        <v>1572</v>
      </c>
      <c r="I68" s="13" t="s">
        <v>1565</v>
      </c>
      <c r="J68" s="1263"/>
      <c r="K68" s="1263"/>
    </row>
    <row r="69" spans="1:11" ht="15" customHeight="1">
      <c r="A69" s="1263">
        <v>10</v>
      </c>
      <c r="B69" s="1264" t="s">
        <v>1585</v>
      </c>
      <c r="C69" s="1263"/>
      <c r="D69" s="586"/>
      <c r="E69" s="13" t="s">
        <v>1586</v>
      </c>
      <c r="F69" s="15"/>
      <c r="G69" s="1263"/>
      <c r="H69" s="1265" t="s">
        <v>1587</v>
      </c>
      <c r="I69" s="13" t="s">
        <v>1565</v>
      </c>
      <c r="J69" s="1263"/>
      <c r="K69" s="1263"/>
    </row>
    <row r="70" spans="1:11" ht="15" customHeight="1">
      <c r="A70" s="1263">
        <v>11</v>
      </c>
      <c r="B70" s="1264" t="s">
        <v>1588</v>
      </c>
      <c r="C70" s="1263"/>
      <c r="D70" s="586"/>
      <c r="E70" s="13" t="s">
        <v>1589</v>
      </c>
      <c r="F70" s="15"/>
      <c r="G70" s="1263"/>
      <c r="H70" s="1265" t="s">
        <v>1564</v>
      </c>
      <c r="I70" s="13" t="s">
        <v>1565</v>
      </c>
      <c r="J70" s="1263"/>
      <c r="K70" s="1263"/>
    </row>
    <row r="71" spans="1:11" ht="15" customHeight="1">
      <c r="A71" s="1263">
        <v>12</v>
      </c>
      <c r="B71" s="1264" t="s">
        <v>1590</v>
      </c>
      <c r="C71" s="1263"/>
      <c r="D71" s="586"/>
      <c r="E71" s="13" t="s">
        <v>1591</v>
      </c>
      <c r="F71" s="15"/>
      <c r="G71" s="1263"/>
      <c r="H71" s="1265" t="s">
        <v>1564</v>
      </c>
      <c r="I71" s="13" t="s">
        <v>1565</v>
      </c>
      <c r="J71" s="1263"/>
      <c r="K71" s="1263"/>
    </row>
    <row r="72" spans="1:11" ht="15" customHeight="1">
      <c r="A72" s="1263">
        <v>13</v>
      </c>
      <c r="B72" s="1264" t="s">
        <v>1592</v>
      </c>
      <c r="C72" s="1263"/>
      <c r="D72" s="586"/>
      <c r="E72" s="13" t="s">
        <v>1593</v>
      </c>
      <c r="F72" s="15"/>
      <c r="G72" s="1263"/>
      <c r="H72" s="1265" t="s">
        <v>1580</v>
      </c>
      <c r="I72" s="13" t="s">
        <v>1565</v>
      </c>
      <c r="J72" s="1263"/>
      <c r="K72" s="1263"/>
    </row>
    <row r="73" spans="1:11" ht="15" customHeight="1">
      <c r="A73" s="1263">
        <v>14</v>
      </c>
      <c r="B73" s="1264" t="s">
        <v>1594</v>
      </c>
      <c r="C73" s="1263"/>
      <c r="D73" s="586"/>
      <c r="E73" s="13" t="s">
        <v>1595</v>
      </c>
      <c r="F73" s="15"/>
      <c r="G73" s="1263"/>
      <c r="H73" s="1265" t="s">
        <v>1564</v>
      </c>
      <c r="I73" s="13" t="s">
        <v>1565</v>
      </c>
      <c r="J73" s="1263"/>
      <c r="K73" s="1263"/>
    </row>
    <row r="74" spans="1:11" ht="15" customHeight="1">
      <c r="A74" s="1263">
        <v>15</v>
      </c>
      <c r="B74" s="1264" t="s">
        <v>1594</v>
      </c>
      <c r="C74" s="1263"/>
      <c r="D74" s="586"/>
      <c r="E74" s="13" t="s">
        <v>1596</v>
      </c>
      <c r="F74" s="15"/>
      <c r="G74" s="1263"/>
      <c r="H74" s="1265" t="s">
        <v>1580</v>
      </c>
      <c r="I74" s="13" t="s">
        <v>1565</v>
      </c>
      <c r="J74" s="1263"/>
      <c r="K74" s="1263"/>
    </row>
    <row r="75" spans="1:11" ht="15" customHeight="1">
      <c r="A75" s="1263">
        <v>16</v>
      </c>
      <c r="B75" s="1264" t="s">
        <v>1594</v>
      </c>
      <c r="C75" s="1263"/>
      <c r="D75" s="586"/>
      <c r="E75" s="13" t="s">
        <v>1597</v>
      </c>
      <c r="F75" s="15"/>
      <c r="G75" s="1263"/>
      <c r="H75" s="1265" t="s">
        <v>1564</v>
      </c>
      <c r="I75" s="13" t="s">
        <v>1565</v>
      </c>
      <c r="J75" s="1263"/>
      <c r="K75" s="1263"/>
    </row>
    <row r="76" spans="1:11" ht="15" customHeight="1">
      <c r="A76" s="1263">
        <v>17</v>
      </c>
      <c r="B76" s="1264" t="s">
        <v>1594</v>
      </c>
      <c r="C76" s="1263"/>
      <c r="D76" s="586"/>
      <c r="E76" s="13" t="s">
        <v>1598</v>
      </c>
      <c r="F76" s="15"/>
      <c r="G76" s="1263"/>
      <c r="H76" s="1265" t="s">
        <v>1572</v>
      </c>
      <c r="I76" s="13" t="s">
        <v>1565</v>
      </c>
      <c r="J76" s="1263"/>
      <c r="K76" s="1263"/>
    </row>
    <row r="77" spans="1:11" ht="15" customHeight="1">
      <c r="A77" s="1263">
        <v>18</v>
      </c>
      <c r="B77" s="1264" t="s">
        <v>1594</v>
      </c>
      <c r="C77" s="1263"/>
      <c r="D77" s="586"/>
      <c r="E77" s="13" t="s">
        <v>1599</v>
      </c>
      <c r="F77" s="15"/>
      <c r="G77" s="1263"/>
      <c r="H77" s="1265" t="s">
        <v>1572</v>
      </c>
      <c r="I77" s="13" t="s">
        <v>1565</v>
      </c>
      <c r="J77" s="1263"/>
      <c r="K77" s="1263"/>
    </row>
    <row r="78" spans="1:11" ht="15" customHeight="1">
      <c r="A78" s="1263">
        <v>19</v>
      </c>
      <c r="B78" s="1264" t="s">
        <v>1594</v>
      </c>
      <c r="C78" s="1263"/>
      <c r="D78" s="586"/>
      <c r="E78" s="13" t="s">
        <v>1600</v>
      </c>
      <c r="F78" s="15"/>
      <c r="G78" s="1263"/>
      <c r="H78" s="1265" t="s">
        <v>1572</v>
      </c>
      <c r="I78" s="13" t="s">
        <v>1565</v>
      </c>
      <c r="J78" s="1263"/>
      <c r="K78" s="1263"/>
    </row>
    <row r="79" spans="1:11" ht="15" customHeight="1">
      <c r="A79" s="1263">
        <v>20</v>
      </c>
      <c r="B79" s="1264" t="s">
        <v>1601</v>
      </c>
      <c r="C79" s="1263"/>
      <c r="D79" s="586"/>
      <c r="E79" s="13" t="s">
        <v>1602</v>
      </c>
      <c r="F79" s="15"/>
      <c r="G79" s="1263"/>
      <c r="H79" s="1265" t="s">
        <v>1580</v>
      </c>
      <c r="I79" s="13" t="s">
        <v>1565</v>
      </c>
      <c r="J79" s="1263"/>
      <c r="K79" s="1263"/>
    </row>
    <row r="80" spans="1:11" ht="15" customHeight="1">
      <c r="A80" s="1263">
        <v>21</v>
      </c>
      <c r="B80" s="1264" t="s">
        <v>1603</v>
      </c>
      <c r="C80" s="1263"/>
      <c r="D80" s="586"/>
      <c r="E80" s="13" t="s">
        <v>1604</v>
      </c>
      <c r="F80" s="15"/>
      <c r="G80" s="1263"/>
      <c r="H80" s="1265" t="s">
        <v>1572</v>
      </c>
      <c r="I80" s="13" t="s">
        <v>1565</v>
      </c>
      <c r="J80" s="1263"/>
      <c r="K80" s="1263"/>
    </row>
    <row r="81" spans="1:11" ht="15" customHeight="1">
      <c r="A81" s="1263">
        <v>22</v>
      </c>
      <c r="B81" s="1264" t="s">
        <v>1605</v>
      </c>
      <c r="C81" s="1263"/>
      <c r="D81" s="586"/>
      <c r="E81" s="13" t="s">
        <v>1606</v>
      </c>
      <c r="F81" s="15"/>
      <c r="G81" s="1263"/>
      <c r="H81" s="1265" t="s">
        <v>1587</v>
      </c>
      <c r="I81" s="13" t="s">
        <v>1565</v>
      </c>
      <c r="J81" s="1263"/>
      <c r="K81" s="1263"/>
    </row>
    <row r="82" spans="1:11" ht="12.75" customHeight="1">
      <c r="A82" s="1263">
        <v>23</v>
      </c>
      <c r="B82" s="1264" t="s">
        <v>1605</v>
      </c>
      <c r="C82" s="1263"/>
      <c r="D82" s="586"/>
      <c r="E82" s="13" t="s">
        <v>1607</v>
      </c>
      <c r="F82" s="15"/>
      <c r="G82" s="1263"/>
      <c r="H82" s="1265" t="s">
        <v>1587</v>
      </c>
      <c r="I82" s="13" t="s">
        <v>1565</v>
      </c>
      <c r="J82" s="1141"/>
      <c r="K82" s="5"/>
    </row>
    <row r="83" spans="1:11" ht="15" customHeight="1">
      <c r="A83" s="1263">
        <v>24</v>
      </c>
      <c r="B83" s="1264" t="s">
        <v>1608</v>
      </c>
      <c r="C83" s="1263"/>
      <c r="D83" s="586"/>
      <c r="E83" s="13" t="s">
        <v>1609</v>
      </c>
      <c r="F83" s="15"/>
      <c r="G83" s="1263"/>
      <c r="H83" s="1265" t="s">
        <v>1587</v>
      </c>
      <c r="I83" s="13" t="s">
        <v>1565</v>
      </c>
      <c r="J83" s="1263"/>
      <c r="K83" s="1263"/>
    </row>
    <row r="84" spans="1:11" ht="15" customHeight="1">
      <c r="A84" s="1263">
        <v>25</v>
      </c>
      <c r="B84" s="1264" t="s">
        <v>1608</v>
      </c>
      <c r="C84" s="1263"/>
      <c r="D84" s="586"/>
      <c r="E84" s="13" t="s">
        <v>1610</v>
      </c>
      <c r="F84" s="15"/>
      <c r="G84" s="1263"/>
      <c r="H84" s="1265" t="s">
        <v>1587</v>
      </c>
      <c r="I84" s="13" t="s">
        <v>1565</v>
      </c>
      <c r="J84" s="1263"/>
      <c r="K84" s="1263"/>
    </row>
    <row r="85" spans="1:11" ht="15" customHeight="1">
      <c r="A85" s="1263">
        <v>26</v>
      </c>
      <c r="B85" s="1264" t="s">
        <v>1608</v>
      </c>
      <c r="C85" s="1263"/>
      <c r="D85" s="586"/>
      <c r="E85" s="13" t="s">
        <v>1611</v>
      </c>
      <c r="F85" s="15"/>
      <c r="G85" s="1263"/>
      <c r="H85" s="1265" t="s">
        <v>1564</v>
      </c>
      <c r="I85" s="13" t="s">
        <v>1565</v>
      </c>
      <c r="J85" s="1263"/>
      <c r="K85" s="1263"/>
    </row>
    <row r="86" spans="1:11" ht="15" customHeight="1">
      <c r="A86" s="1263">
        <v>27</v>
      </c>
      <c r="B86" s="1264" t="s">
        <v>1612</v>
      </c>
      <c r="C86" s="1263"/>
      <c r="D86" s="586"/>
      <c r="E86" s="13" t="s">
        <v>1613</v>
      </c>
      <c r="F86" s="15"/>
      <c r="G86" s="1263"/>
      <c r="H86" s="1265" t="s">
        <v>1577</v>
      </c>
      <c r="I86" s="13" t="s">
        <v>1565</v>
      </c>
      <c r="J86" s="1263"/>
      <c r="K86" s="1263"/>
    </row>
    <row r="87" spans="1:11" ht="15" customHeight="1">
      <c r="A87" s="1263"/>
      <c r="B87" s="1264"/>
      <c r="C87" s="1263"/>
      <c r="D87" s="586"/>
      <c r="E87" s="13"/>
      <c r="F87" s="15"/>
      <c r="G87" s="1263"/>
      <c r="H87" s="1265"/>
      <c r="I87" s="13"/>
      <c r="J87" s="1263"/>
      <c r="K87" s="1263"/>
    </row>
    <row r="88" spans="1:11" ht="15" customHeight="1">
      <c r="A88" s="1263"/>
      <c r="B88" s="1264"/>
      <c r="C88" s="1263"/>
      <c r="D88" s="586"/>
      <c r="E88" s="13"/>
      <c r="F88" s="15"/>
      <c r="G88" s="1263"/>
      <c r="H88" s="1265"/>
      <c r="I88" s="13"/>
      <c r="J88" s="1263"/>
      <c r="K88" s="1263"/>
    </row>
    <row r="89" spans="1:11" ht="15" customHeight="1">
      <c r="A89" s="1263"/>
      <c r="B89" s="1264"/>
      <c r="C89" s="1263"/>
      <c r="D89" s="586"/>
      <c r="E89" s="13"/>
      <c r="F89" s="15"/>
      <c r="G89" s="1263"/>
      <c r="H89" s="1265"/>
      <c r="I89" s="13"/>
      <c r="J89" s="1263"/>
      <c r="K89" s="1263"/>
    </row>
    <row r="90" spans="1:11" ht="15" customHeight="1">
      <c r="A90" s="1263"/>
      <c r="B90" s="1264"/>
      <c r="C90" s="364"/>
      <c r="D90" s="364"/>
      <c r="E90" s="13"/>
      <c r="F90" s="364"/>
      <c r="G90" s="364"/>
      <c r="H90" s="1265"/>
      <c r="I90" s="13"/>
      <c r="J90" s="1263"/>
      <c r="K90" s="1263"/>
    </row>
    <row r="91" spans="1:11" ht="15" customHeight="1">
      <c r="A91" s="1263"/>
      <c r="B91" s="1264"/>
      <c r="C91" s="364"/>
      <c r="D91" s="364"/>
      <c r="E91" s="13"/>
      <c r="F91" s="364"/>
      <c r="G91" s="364"/>
      <c r="H91" s="1265"/>
      <c r="I91" s="13"/>
      <c r="J91" s="1263"/>
      <c r="K91" s="1263"/>
    </row>
    <row r="92" spans="1:11" ht="15" customHeight="1">
      <c r="A92" s="1263"/>
      <c r="B92" s="1264"/>
      <c r="C92" s="1263"/>
      <c r="D92" s="586"/>
      <c r="E92" s="13"/>
      <c r="F92" s="15"/>
      <c r="G92" s="1263"/>
      <c r="H92" s="1265"/>
      <c r="I92" s="13"/>
      <c r="J92" s="1263"/>
      <c r="K92" s="1263"/>
    </row>
    <row r="93" spans="1:11" ht="15" customHeight="1">
      <c r="J93" s="1263"/>
      <c r="K93" s="1263"/>
    </row>
    <row r="94" spans="1:11" ht="15" customHeight="1">
      <c r="A94" s="1263"/>
      <c r="B94" s="1264"/>
      <c r="C94" s="1263"/>
      <c r="J94" s="1263"/>
      <c r="K94" s="1263"/>
    </row>
    <row r="95" spans="1:11">
      <c r="A95" s="1204"/>
      <c r="B95" s="1514"/>
      <c r="C95" s="1514"/>
      <c r="D95" s="1514"/>
      <c r="E95" s="13"/>
      <c r="F95" s="1266"/>
      <c r="G95" s="1267"/>
      <c r="H95" s="1265"/>
      <c r="I95" s="13"/>
      <c r="J95" s="586"/>
      <c r="K95" s="586"/>
    </row>
    <row r="96" spans="1:11" ht="11.25" customHeight="1">
      <c r="A96" s="6"/>
      <c r="B96" s="7"/>
      <c r="C96" s="1511">
        <f>$A$1</f>
        <v>0</v>
      </c>
      <c r="D96" s="1511"/>
      <c r="E96" s="1511"/>
      <c r="F96" s="1511"/>
      <c r="G96" s="1511"/>
      <c r="H96" s="1511"/>
      <c r="I96" s="1511"/>
      <c r="J96" s="1511"/>
      <c r="K96" s="1511"/>
    </row>
    <row r="97" spans="1:11" ht="11.25" customHeight="1">
      <c r="A97" s="6"/>
      <c r="B97" s="7"/>
      <c r="C97" s="1511">
        <f>$A$2</f>
        <v>0</v>
      </c>
      <c r="D97" s="1511"/>
      <c r="E97" s="1511"/>
      <c r="F97" s="1511"/>
      <c r="G97" s="1511"/>
      <c r="H97" s="1511"/>
      <c r="I97" s="1511"/>
      <c r="J97" s="1511"/>
      <c r="K97" s="1511"/>
    </row>
    <row r="98" spans="1:11" ht="11.25" customHeight="1">
      <c r="A98" s="6"/>
      <c r="B98" s="7"/>
      <c r="C98" s="1511">
        <f>$A$3</f>
        <v>0</v>
      </c>
      <c r="D98" s="1511"/>
      <c r="E98" s="1511"/>
      <c r="F98" s="1511"/>
      <c r="G98" s="1511"/>
      <c r="H98" s="1511"/>
      <c r="I98" s="1511"/>
      <c r="J98" s="1511"/>
      <c r="K98" s="1511"/>
    </row>
    <row r="99" spans="1:11" ht="45.75" customHeight="1">
      <c r="A99" s="1505" t="s">
        <v>1427</v>
      </c>
      <c r="B99" s="1505"/>
      <c r="C99" s="1505"/>
      <c r="D99" s="1505"/>
      <c r="E99" s="1505"/>
      <c r="F99" s="1505"/>
      <c r="G99" s="1505"/>
      <c r="H99" s="1505"/>
      <c r="I99" s="1505"/>
      <c r="J99" s="1505"/>
      <c r="K99" s="1505"/>
    </row>
    <row r="100" spans="1:11" ht="21" customHeight="1">
      <c r="A100" s="1507" t="s">
        <v>258</v>
      </c>
      <c r="B100" s="1507"/>
      <c r="C100" s="1507"/>
      <c r="D100" s="1507"/>
      <c r="E100" s="1507"/>
      <c r="F100" s="1507"/>
      <c r="G100" s="1507"/>
      <c r="H100" s="1507"/>
      <c r="I100" s="1507"/>
      <c r="J100" s="1507"/>
      <c r="K100" s="1507"/>
    </row>
    <row r="101" spans="1:11" ht="25.5" customHeight="1">
      <c r="A101" s="13" t="s">
        <v>1428</v>
      </c>
      <c r="B101" s="1142"/>
      <c r="C101" s="1140"/>
      <c r="D101" s="9"/>
      <c r="E101" s="1201"/>
      <c r="F101" s="1525" t="str">
        <f>$C$47</f>
        <v>г. Красноярск, бассейн ДВС СибГУ, 50 м</v>
      </c>
      <c r="G101" s="1525"/>
      <c r="H101" s="1525"/>
      <c r="I101" s="1525"/>
      <c r="J101" s="1268"/>
    </row>
    <row r="102" spans="1:11" ht="16.5" customHeight="1">
      <c r="A102" s="1526" t="s">
        <v>1614</v>
      </c>
      <c r="B102" s="1526"/>
      <c r="C102" s="1526"/>
      <c r="D102" s="1526"/>
      <c r="E102" s="1526"/>
      <c r="F102" s="1526"/>
      <c r="G102" s="1526"/>
      <c r="H102" s="1526"/>
      <c r="I102" s="1526"/>
      <c r="J102" s="1526"/>
      <c r="K102" s="1526"/>
    </row>
    <row r="103" spans="1:11" ht="17.25" customHeight="1">
      <c r="A103" s="1519" t="s">
        <v>1615</v>
      </c>
      <c r="B103" s="1519"/>
      <c r="C103" s="1519"/>
      <c r="D103" s="1519"/>
      <c r="E103" s="1519"/>
      <c r="F103" s="1519"/>
      <c r="G103" s="1519"/>
      <c r="H103" s="1519"/>
      <c r="I103" s="1519"/>
      <c r="J103" s="1519"/>
      <c r="K103" s="1519"/>
    </row>
    <row r="104" spans="1:11" ht="21" customHeight="1">
      <c r="A104" s="1527" t="s">
        <v>16</v>
      </c>
      <c r="B104" s="1529" t="s">
        <v>5</v>
      </c>
      <c r="C104" s="1515" t="s">
        <v>1616</v>
      </c>
      <c r="D104" s="1531"/>
      <c r="E104" s="1529" t="s">
        <v>4</v>
      </c>
      <c r="F104" s="1515" t="s">
        <v>6</v>
      </c>
      <c r="G104" s="1531"/>
      <c r="H104" s="1533" t="s">
        <v>17</v>
      </c>
      <c r="I104" s="1534"/>
      <c r="J104" s="1535" t="s">
        <v>1617</v>
      </c>
      <c r="K104" s="1515" t="s">
        <v>18</v>
      </c>
    </row>
    <row r="105" spans="1:11" ht="12" customHeight="1">
      <c r="A105" s="1528"/>
      <c r="B105" s="1530"/>
      <c r="C105" s="1516"/>
      <c r="D105" s="1532"/>
      <c r="E105" s="1530"/>
      <c r="F105" s="1516"/>
      <c r="G105" s="1532"/>
      <c r="H105" s="1269" t="s">
        <v>1618</v>
      </c>
      <c r="I105" s="1269" t="s">
        <v>1619</v>
      </c>
      <c r="J105" s="1536"/>
      <c r="K105" s="1516"/>
    </row>
    <row r="106" spans="1:11" ht="14.25" customHeight="1"/>
    <row r="107" spans="1:11" ht="14.25" customHeight="1">
      <c r="A107" s="1210"/>
      <c r="B107" s="1210"/>
      <c r="C107" s="1171" t="s">
        <v>1683</v>
      </c>
      <c r="D107" s="1171"/>
      <c r="E107" s="1172"/>
      <c r="F107" s="1171"/>
      <c r="G107" s="524"/>
      <c r="H107" s="537"/>
      <c r="I107" s="529"/>
    </row>
    <row r="108" spans="1:11" ht="14.25" customHeight="1">
      <c r="A108" s="1210"/>
      <c r="B108" s="1210"/>
      <c r="C108" s="1171"/>
      <c r="D108" s="1171"/>
      <c r="E108" s="1172"/>
      <c r="F108" s="1171"/>
      <c r="G108" s="524"/>
      <c r="H108" s="537"/>
      <c r="I108" s="529"/>
    </row>
    <row r="109" spans="1:11" ht="14.25" customHeight="1">
      <c r="A109" s="1130">
        <v>1</v>
      </c>
      <c r="B109" s="1207" t="s">
        <v>27</v>
      </c>
      <c r="C109" s="1205" t="s">
        <v>1437</v>
      </c>
      <c r="D109" s="1204"/>
      <c r="E109" s="1206">
        <v>2002</v>
      </c>
      <c r="F109" s="1205" t="s">
        <v>1727</v>
      </c>
      <c r="G109" s="766"/>
      <c r="H109" s="1160"/>
      <c r="I109" s="1138">
        <v>42.3</v>
      </c>
      <c r="J109" s="747" t="str">
        <f t="shared" ref="J109:J116" si="0">IF(ISBLANK(I109)," ",IF(ISTEXT(I109)," ",IF(I109&lt;=40,"МСМК",IF(I109&lt;=42,"МС",IF(I109&lt;=43.8,"КМС",IF(I109&lt;=47,"I",IF(I109&lt;=51,"II",IF(I109&lt;=55.2,"III",IF(I109&lt;=59.8,"I юн",IF(I109&lt;=105.4,"II юн",IF(I109&lt;=110.4,"III юн","б/р")))))))))))</f>
        <v>КМС</v>
      </c>
      <c r="K109" s="126">
        <v>50</v>
      </c>
    </row>
    <row r="110" spans="1:11" ht="14.25" customHeight="1">
      <c r="A110" s="1130">
        <v>2</v>
      </c>
      <c r="B110" s="1207" t="s">
        <v>25</v>
      </c>
      <c r="C110" s="1167" t="s">
        <v>1534</v>
      </c>
      <c r="D110" s="1155"/>
      <c r="E110" s="1194">
        <v>2003</v>
      </c>
      <c r="F110" s="1195" t="s">
        <v>1707</v>
      </c>
      <c r="G110" s="766"/>
      <c r="H110" s="1163"/>
      <c r="I110" s="1138">
        <v>43.55</v>
      </c>
      <c r="J110" s="747" t="str">
        <f t="shared" si="0"/>
        <v>КМС</v>
      </c>
      <c r="K110" s="126">
        <v>46</v>
      </c>
    </row>
    <row r="111" spans="1:11" ht="14.25" customHeight="1">
      <c r="A111" s="1130">
        <v>3</v>
      </c>
      <c r="B111" s="1168" t="s">
        <v>27</v>
      </c>
      <c r="C111" s="1205" t="s">
        <v>666</v>
      </c>
      <c r="D111" s="1204"/>
      <c r="E111" s="1206">
        <v>2003</v>
      </c>
      <c r="F111" s="1205" t="s">
        <v>1699</v>
      </c>
      <c r="G111" s="766"/>
      <c r="H111" s="1160"/>
      <c r="I111" s="1138">
        <v>43.77</v>
      </c>
      <c r="J111" s="747" t="str">
        <f t="shared" si="0"/>
        <v>КМС</v>
      </c>
      <c r="K111" s="1239" t="s">
        <v>12</v>
      </c>
    </row>
    <row r="112" spans="1:11" ht="14.25" customHeight="1">
      <c r="A112" s="1130">
        <v>4</v>
      </c>
      <c r="B112" s="1207" t="s">
        <v>27</v>
      </c>
      <c r="C112" s="1205" t="s">
        <v>1413</v>
      </c>
      <c r="D112" s="1204"/>
      <c r="E112" s="1206">
        <v>1998</v>
      </c>
      <c r="F112" s="1205" t="s">
        <v>1691</v>
      </c>
      <c r="G112" s="766"/>
      <c r="H112" s="1160"/>
      <c r="I112" s="1138">
        <v>44.15</v>
      </c>
      <c r="J112" s="747" t="str">
        <f t="shared" si="0"/>
        <v>I</v>
      </c>
      <c r="K112" s="126">
        <v>42</v>
      </c>
    </row>
    <row r="113" spans="1:11" ht="14.25" customHeight="1">
      <c r="A113" s="1130">
        <v>5</v>
      </c>
      <c r="B113" s="1207" t="s">
        <v>27</v>
      </c>
      <c r="C113" s="1205" t="s">
        <v>567</v>
      </c>
      <c r="D113" s="1204"/>
      <c r="E113" s="1206">
        <v>1999</v>
      </c>
      <c r="F113" s="1205" t="s">
        <v>1695</v>
      </c>
      <c r="G113" s="766"/>
      <c r="H113" s="1160"/>
      <c r="I113" s="1138">
        <v>44.31</v>
      </c>
      <c r="J113" s="747" t="str">
        <f t="shared" si="0"/>
        <v>I</v>
      </c>
      <c r="K113" s="1239" t="s">
        <v>12</v>
      </c>
    </row>
    <row r="114" spans="1:11" ht="14.25" customHeight="1">
      <c r="A114" s="1130">
        <v>6</v>
      </c>
      <c r="B114" s="1207" t="s">
        <v>1</v>
      </c>
      <c r="C114" s="1205" t="s">
        <v>1435</v>
      </c>
      <c r="D114" s="1204"/>
      <c r="E114" s="1206">
        <v>2003</v>
      </c>
      <c r="F114" s="1205" t="s">
        <v>1699</v>
      </c>
      <c r="G114" s="766"/>
      <c r="H114" s="1160"/>
      <c r="I114" s="1138">
        <v>49.39</v>
      </c>
      <c r="J114" s="747" t="str">
        <f t="shared" si="0"/>
        <v>II</v>
      </c>
      <c r="K114" s="1239" t="s">
        <v>12</v>
      </c>
    </row>
    <row r="115" spans="1:11" ht="14.25" customHeight="1">
      <c r="A115" s="1130">
        <v>7</v>
      </c>
      <c r="B115" s="1207" t="s">
        <v>1</v>
      </c>
      <c r="C115" s="1205" t="s">
        <v>1432</v>
      </c>
      <c r="D115" s="1204"/>
      <c r="E115" s="1206">
        <v>2003</v>
      </c>
      <c r="F115" s="1205" t="s">
        <v>1695</v>
      </c>
      <c r="G115" s="766"/>
      <c r="H115" s="1160"/>
      <c r="I115" s="1138">
        <v>51.01</v>
      </c>
      <c r="J115" s="747" t="str">
        <f t="shared" si="0"/>
        <v>III</v>
      </c>
      <c r="K115" s="1239" t="s">
        <v>12</v>
      </c>
    </row>
    <row r="116" spans="1:11" ht="14.25" customHeight="1">
      <c r="A116" s="1130">
        <v>8</v>
      </c>
      <c r="B116" s="1207" t="s">
        <v>1</v>
      </c>
      <c r="C116" s="1173" t="s">
        <v>1436</v>
      </c>
      <c r="D116" s="1174"/>
      <c r="E116" s="1206">
        <v>2003</v>
      </c>
      <c r="F116" s="1175" t="s">
        <v>1707</v>
      </c>
      <c r="G116" s="766"/>
      <c r="H116" s="1176"/>
      <c r="I116" s="1138">
        <v>54.13</v>
      </c>
      <c r="J116" s="747" t="str">
        <f t="shared" si="0"/>
        <v>III</v>
      </c>
      <c r="K116" s="1239" t="s">
        <v>12</v>
      </c>
    </row>
    <row r="117" spans="1:11" ht="14.25" customHeight="1">
      <c r="A117" s="1130"/>
      <c r="B117" s="1207" t="s">
        <v>29</v>
      </c>
      <c r="C117" s="1205" t="s">
        <v>1434</v>
      </c>
      <c r="D117" s="1204"/>
      <c r="E117" s="1206">
        <v>2003</v>
      </c>
      <c r="F117" s="1205" t="s">
        <v>1699</v>
      </c>
      <c r="G117" s="766"/>
      <c r="H117" s="1160"/>
      <c r="I117" s="1138" t="s">
        <v>1622</v>
      </c>
      <c r="J117" s="1270"/>
      <c r="K117" s="1239" t="s">
        <v>12</v>
      </c>
    </row>
    <row r="118" spans="1:11" ht="14.25" customHeight="1">
      <c r="A118" s="1130"/>
      <c r="B118" s="1207"/>
      <c r="C118" s="1205"/>
      <c r="D118" s="1204"/>
      <c r="E118" s="1206"/>
      <c r="F118" s="1205"/>
      <c r="G118" s="766"/>
      <c r="H118" s="1160"/>
      <c r="J118" s="1270"/>
      <c r="K118" s="1239"/>
    </row>
    <row r="119" spans="1:11" ht="14.25" customHeight="1">
      <c r="A119" s="1130"/>
      <c r="B119" s="1207"/>
      <c r="C119" s="524" t="s">
        <v>1684</v>
      </c>
      <c r="D119" s="525"/>
      <c r="E119" s="526"/>
      <c r="F119" s="524"/>
      <c r="G119" s="524"/>
      <c r="H119" s="1160"/>
      <c r="J119" s="1270"/>
      <c r="K119" s="1210"/>
    </row>
    <row r="120" spans="1:11" ht="14.25" customHeight="1">
      <c r="A120" s="1130"/>
      <c r="B120" s="1197"/>
      <c r="C120" s="767"/>
      <c r="D120" s="1204"/>
      <c r="E120" s="1203"/>
      <c r="F120" s="766"/>
      <c r="G120" s="766"/>
      <c r="H120" s="1160"/>
      <c r="I120" s="1138"/>
      <c r="J120" s="747"/>
      <c r="K120" s="1240"/>
    </row>
    <row r="121" spans="1:11" ht="14.25" customHeight="1">
      <c r="A121" s="1130">
        <v>1</v>
      </c>
      <c r="B121" s="1177" t="s">
        <v>23</v>
      </c>
      <c r="C121" s="1157" t="s">
        <v>1453</v>
      </c>
      <c r="D121" s="1155"/>
      <c r="E121" s="1206">
        <v>2002</v>
      </c>
      <c r="F121" s="1215" t="s">
        <v>1712</v>
      </c>
      <c r="G121" s="766"/>
      <c r="H121" s="1160"/>
      <c r="I121" s="1138">
        <v>34.89</v>
      </c>
      <c r="J121" s="747" t="s">
        <v>29</v>
      </c>
      <c r="K121" s="126">
        <v>50</v>
      </c>
    </row>
    <row r="122" spans="1:11" ht="14.25" customHeight="1">
      <c r="A122" s="1130">
        <v>2</v>
      </c>
      <c r="B122" s="1202" t="s">
        <v>25</v>
      </c>
      <c r="C122" s="1205" t="s">
        <v>1462</v>
      </c>
      <c r="D122" s="1155"/>
      <c r="E122" s="1206">
        <v>2001</v>
      </c>
      <c r="F122" s="766" t="s">
        <v>1711</v>
      </c>
      <c r="G122" s="766"/>
      <c r="H122" s="1160"/>
      <c r="I122" s="1138">
        <v>35.869999999999997</v>
      </c>
      <c r="J122" s="747" t="s">
        <v>29</v>
      </c>
      <c r="K122" s="1239" t="s">
        <v>12</v>
      </c>
    </row>
    <row r="123" spans="1:11" ht="14.25" customHeight="1">
      <c r="A123" s="1130">
        <v>3</v>
      </c>
      <c r="B123" s="1201" t="s">
        <v>27</v>
      </c>
      <c r="C123" s="1173" t="s">
        <v>1459</v>
      </c>
      <c r="D123" s="1176"/>
      <c r="E123" s="1174">
        <v>2003</v>
      </c>
      <c r="F123" s="1157" t="s">
        <v>1707</v>
      </c>
      <c r="G123" s="766"/>
      <c r="H123" s="1176"/>
      <c r="I123" s="1138">
        <v>37.49</v>
      </c>
      <c r="J123" s="747" t="s">
        <v>29</v>
      </c>
      <c r="K123" s="126">
        <v>46</v>
      </c>
    </row>
    <row r="124" spans="1:11" ht="14.25" customHeight="1">
      <c r="A124" s="1130">
        <v>4</v>
      </c>
      <c r="B124" s="1207" t="s">
        <v>29</v>
      </c>
      <c r="C124" s="1205" t="s">
        <v>1416</v>
      </c>
      <c r="D124" s="1204"/>
      <c r="E124" s="1206">
        <v>2003</v>
      </c>
      <c r="F124" s="1215" t="s">
        <v>1695</v>
      </c>
      <c r="G124" s="766"/>
      <c r="H124" s="1160"/>
      <c r="I124" s="1138">
        <v>38.700000000000003</v>
      </c>
      <c r="J124" s="747" t="str">
        <f t="shared" ref="J124:J135" si="1">IF(ISBLANK(I124)," ",IF(ISTEXT(I124)," ",IF(I124&lt;=36,"МСМК",IF(I124&lt;=37.8,"МС",IF(I124&lt;=39.4,"КМС",IF(I124&lt;=42.3,"I",IF(I124&lt;=45.9,"II",IF(I124&lt;=49.8,"III",IF(I124&lt;=54.6,"I юн",IF(I124&lt;=59.6,"II юн",IF(I124&lt;=104.6,"III юн","б/р")))))))))))</f>
        <v>КМС</v>
      </c>
      <c r="K124" s="126">
        <v>42</v>
      </c>
    </row>
    <row r="125" spans="1:11" ht="14.25" customHeight="1">
      <c r="A125" s="1130">
        <v>5</v>
      </c>
      <c r="B125" s="1201" t="s">
        <v>27</v>
      </c>
      <c r="C125" s="1173" t="s">
        <v>1461</v>
      </c>
      <c r="D125" s="1176"/>
      <c r="E125" s="1174">
        <v>2003</v>
      </c>
      <c r="F125" s="1157" t="s">
        <v>1707</v>
      </c>
      <c r="G125" s="766"/>
      <c r="H125" s="1176"/>
      <c r="I125" s="1138">
        <v>38.82</v>
      </c>
      <c r="J125" s="747" t="str">
        <f t="shared" si="1"/>
        <v>КМС</v>
      </c>
      <c r="K125" s="126">
        <v>39</v>
      </c>
    </row>
    <row r="126" spans="1:11" ht="14.25" customHeight="1">
      <c r="A126" s="1130">
        <v>6</v>
      </c>
      <c r="B126" s="1207" t="s">
        <v>29</v>
      </c>
      <c r="C126" s="1205" t="s">
        <v>1348</v>
      </c>
      <c r="D126" s="1204"/>
      <c r="E126" s="1206">
        <v>2003</v>
      </c>
      <c r="F126" s="1289" t="s">
        <v>1695</v>
      </c>
      <c r="G126" s="766"/>
      <c r="H126" s="1160"/>
      <c r="I126" s="1138">
        <v>39.119999999999997</v>
      </c>
      <c r="J126" s="747" t="str">
        <f t="shared" si="1"/>
        <v>КМС</v>
      </c>
      <c r="K126" s="126">
        <v>36</v>
      </c>
    </row>
    <row r="127" spans="1:11" ht="14.25" customHeight="1">
      <c r="A127" s="1130">
        <v>7</v>
      </c>
      <c r="B127" s="1177" t="s">
        <v>15</v>
      </c>
      <c r="C127" s="1205" t="s">
        <v>1455</v>
      </c>
      <c r="D127" s="1204"/>
      <c r="E127" s="1206">
        <v>2002</v>
      </c>
      <c r="F127" s="1215" t="s">
        <v>1709</v>
      </c>
      <c r="G127" s="766"/>
      <c r="H127" s="1160"/>
      <c r="I127" s="1138">
        <v>39.950000000000003</v>
      </c>
      <c r="J127" s="747" t="str">
        <f t="shared" si="1"/>
        <v>I</v>
      </c>
      <c r="K127" s="126">
        <v>33</v>
      </c>
    </row>
    <row r="128" spans="1:11" ht="14.25" customHeight="1">
      <c r="A128" s="1130">
        <v>8</v>
      </c>
      <c r="B128" s="1178" t="s">
        <v>1457</v>
      </c>
      <c r="C128" s="1173" t="s">
        <v>1458</v>
      </c>
      <c r="D128" s="1176"/>
      <c r="E128" s="1174">
        <v>2001</v>
      </c>
      <c r="F128" s="1157" t="s">
        <v>1707</v>
      </c>
      <c r="G128" s="766"/>
      <c r="H128" s="1176"/>
      <c r="I128" s="1138">
        <v>40.229999999999997</v>
      </c>
      <c r="J128" s="747" t="str">
        <f t="shared" si="1"/>
        <v>I</v>
      </c>
      <c r="K128" s="126">
        <v>30</v>
      </c>
    </row>
    <row r="129" spans="1:11" ht="14.25" customHeight="1">
      <c r="A129" s="1130">
        <v>9</v>
      </c>
      <c r="B129" s="1178" t="s">
        <v>1457</v>
      </c>
      <c r="C129" s="1173" t="s">
        <v>1460</v>
      </c>
      <c r="D129" s="1176"/>
      <c r="E129" s="1174">
        <v>2003</v>
      </c>
      <c r="F129" s="1157" t="s">
        <v>1707</v>
      </c>
      <c r="G129" s="766"/>
      <c r="H129" s="1176"/>
      <c r="I129" s="1138">
        <v>40.590000000000003</v>
      </c>
      <c r="J129" s="747" t="str">
        <f t="shared" si="1"/>
        <v>I</v>
      </c>
      <c r="K129" s="1239" t="s">
        <v>12</v>
      </c>
    </row>
    <row r="130" spans="1:11" ht="14.25" customHeight="1">
      <c r="A130" s="1130">
        <v>10</v>
      </c>
      <c r="B130" s="1207" t="s">
        <v>27</v>
      </c>
      <c r="C130" s="1205" t="s">
        <v>1388</v>
      </c>
      <c r="D130" s="1204"/>
      <c r="E130" s="1206">
        <v>2002</v>
      </c>
      <c r="F130" s="1289" t="s">
        <v>1695</v>
      </c>
      <c r="G130" s="766"/>
      <c r="H130" s="1160"/>
      <c r="I130" s="1138">
        <v>41.32</v>
      </c>
      <c r="J130" s="747" t="str">
        <f t="shared" si="1"/>
        <v>I</v>
      </c>
      <c r="K130" s="1239" t="s">
        <v>12</v>
      </c>
    </row>
    <row r="131" spans="1:11" ht="14.25" customHeight="1">
      <c r="A131" s="1130">
        <v>11</v>
      </c>
      <c r="B131" s="1207" t="s">
        <v>29</v>
      </c>
      <c r="C131" s="1205" t="s">
        <v>1389</v>
      </c>
      <c r="D131" s="1204"/>
      <c r="E131" s="1207">
        <v>2001</v>
      </c>
      <c r="F131" s="1289" t="s">
        <v>1695</v>
      </c>
      <c r="G131" s="766"/>
      <c r="H131" s="1160"/>
      <c r="I131" s="1138">
        <v>41.88</v>
      </c>
      <c r="J131" s="747" t="str">
        <f t="shared" si="1"/>
        <v>I</v>
      </c>
      <c r="K131" s="1239" t="s">
        <v>12</v>
      </c>
    </row>
    <row r="132" spans="1:11" ht="14.25" customHeight="1">
      <c r="A132" s="1130">
        <v>12</v>
      </c>
      <c r="B132" s="1207" t="s">
        <v>1</v>
      </c>
      <c r="C132" s="1205" t="s">
        <v>1375</v>
      </c>
      <c r="D132" s="1205"/>
      <c r="E132" s="1206">
        <v>2002</v>
      </c>
      <c r="F132" s="1215" t="s">
        <v>1699</v>
      </c>
      <c r="G132" s="766"/>
      <c r="H132" s="1160"/>
      <c r="I132" s="1138">
        <v>44.23</v>
      </c>
      <c r="J132" s="747" t="str">
        <f t="shared" si="1"/>
        <v>II</v>
      </c>
      <c r="K132" s="126">
        <v>27</v>
      </c>
    </row>
    <row r="133" spans="1:11" ht="14.25" customHeight="1">
      <c r="A133" s="1130">
        <v>13</v>
      </c>
      <c r="B133" s="1207" t="s">
        <v>29</v>
      </c>
      <c r="C133" s="1205" t="s">
        <v>1390</v>
      </c>
      <c r="D133" s="1205"/>
      <c r="E133" s="1206">
        <v>2003</v>
      </c>
      <c r="F133" s="1289" t="s">
        <v>1699</v>
      </c>
      <c r="G133" s="766"/>
      <c r="H133" s="1163"/>
      <c r="I133" s="1138">
        <v>44.8</v>
      </c>
      <c r="J133" s="747" t="str">
        <f t="shared" si="1"/>
        <v>II</v>
      </c>
      <c r="K133" s="126">
        <v>24</v>
      </c>
    </row>
    <row r="134" spans="1:11" ht="14.25" customHeight="1">
      <c r="A134" s="1130">
        <v>14</v>
      </c>
      <c r="B134" s="1177" t="s">
        <v>15</v>
      </c>
      <c r="C134" s="1205" t="s">
        <v>1456</v>
      </c>
      <c r="D134" s="1204"/>
      <c r="E134" s="1206">
        <v>2002</v>
      </c>
      <c r="F134" s="1289" t="s">
        <v>1709</v>
      </c>
      <c r="G134" s="766"/>
      <c r="H134" s="1160"/>
      <c r="I134" s="1138">
        <v>45.28</v>
      </c>
      <c r="J134" s="747" t="str">
        <f t="shared" si="1"/>
        <v>II</v>
      </c>
      <c r="K134" s="126">
        <v>22</v>
      </c>
    </row>
    <row r="135" spans="1:11" ht="14.25" customHeight="1">
      <c r="A135" s="1130">
        <v>15</v>
      </c>
      <c r="B135" s="1178">
        <v>2</v>
      </c>
      <c r="C135" s="1173" t="s">
        <v>1533</v>
      </c>
      <c r="D135" s="1173"/>
      <c r="E135" s="1174">
        <v>2001</v>
      </c>
      <c r="F135" s="1157" t="s">
        <v>1707</v>
      </c>
      <c r="G135" s="766"/>
      <c r="H135" s="1176"/>
      <c r="I135" s="1138">
        <v>47.39</v>
      </c>
      <c r="J135" s="747" t="str">
        <f t="shared" si="1"/>
        <v>III</v>
      </c>
      <c r="K135" s="1239" t="s">
        <v>12</v>
      </c>
    </row>
    <row r="136" spans="1:11" ht="14.25" customHeight="1">
      <c r="A136" s="1130"/>
      <c r="B136" s="1202"/>
      <c r="C136" s="1205"/>
      <c r="D136" s="1205"/>
      <c r="E136" s="1206"/>
      <c r="F136" s="1215"/>
      <c r="G136" s="1179"/>
      <c r="H136" s="1160"/>
      <c r="I136" s="1138"/>
      <c r="J136" s="747"/>
      <c r="K136" s="1239"/>
    </row>
    <row r="137" spans="1:11" ht="14.25" customHeight="1">
      <c r="A137" s="57"/>
      <c r="B137" s="535"/>
      <c r="C137" s="524" t="s">
        <v>1685</v>
      </c>
      <c r="D137" s="542"/>
      <c r="E137" s="542"/>
      <c r="F137" s="542"/>
      <c r="G137" s="542"/>
      <c r="H137" s="1164"/>
      <c r="I137" s="1138"/>
      <c r="J137" s="1270"/>
      <c r="K137" s="1210"/>
    </row>
    <row r="138" spans="1:11" ht="14.25" customHeight="1">
      <c r="A138" s="1130"/>
      <c r="B138" s="1207"/>
      <c r="C138" s="1517"/>
      <c r="D138" s="1517"/>
      <c r="E138" s="1206"/>
      <c r="F138" s="1215"/>
      <c r="G138" s="766"/>
      <c r="H138" s="1160"/>
      <c r="I138" s="1138"/>
      <c r="J138" s="747"/>
      <c r="K138" s="1442"/>
    </row>
    <row r="139" spans="1:11" ht="14.25" customHeight="1">
      <c r="A139" s="1130">
        <v>1</v>
      </c>
      <c r="B139" s="1207" t="s">
        <v>25</v>
      </c>
      <c r="C139" s="1205" t="s">
        <v>654</v>
      </c>
      <c r="D139" s="1204"/>
      <c r="E139" s="1206">
        <v>1999</v>
      </c>
      <c r="F139" s="1215" t="s">
        <v>1695</v>
      </c>
      <c r="G139" s="766"/>
      <c r="H139" s="1160"/>
      <c r="I139" s="1138">
        <v>49.39</v>
      </c>
      <c r="J139" s="747" t="s">
        <v>29</v>
      </c>
      <c r="K139" s="126">
        <v>50</v>
      </c>
    </row>
    <row r="140" spans="1:11" ht="14.25" customHeight="1">
      <c r="A140" s="1130">
        <v>2</v>
      </c>
      <c r="B140" s="1207" t="s">
        <v>27</v>
      </c>
      <c r="C140" s="1205" t="s">
        <v>1347</v>
      </c>
      <c r="D140" s="1204"/>
      <c r="E140" s="1206">
        <v>2003</v>
      </c>
      <c r="F140" s="1215" t="s">
        <v>1691</v>
      </c>
      <c r="G140" s="766"/>
      <c r="H140" s="1160"/>
      <c r="I140" s="1138">
        <v>49.97</v>
      </c>
      <c r="J140" s="747" t="s">
        <v>29</v>
      </c>
      <c r="K140" s="126">
        <v>46</v>
      </c>
    </row>
    <row r="141" spans="1:11" ht="14.25" customHeight="1">
      <c r="A141" s="1130">
        <v>3</v>
      </c>
      <c r="B141" s="1207" t="s">
        <v>27</v>
      </c>
      <c r="C141" s="1205" t="s">
        <v>1359</v>
      </c>
      <c r="D141" s="1204"/>
      <c r="E141" s="1206">
        <v>2003</v>
      </c>
      <c r="F141" s="1215" t="s">
        <v>1695</v>
      </c>
      <c r="G141" s="766"/>
      <c r="H141" s="1160"/>
      <c r="I141" s="1138">
        <v>50.97</v>
      </c>
      <c r="J141" s="747" t="s">
        <v>29</v>
      </c>
      <c r="K141" s="126">
        <v>42</v>
      </c>
    </row>
    <row r="142" spans="1:11" ht="14.25" customHeight="1">
      <c r="A142" s="1130">
        <v>4</v>
      </c>
      <c r="B142" s="1178" t="s">
        <v>27</v>
      </c>
      <c r="C142" s="1173" t="s">
        <v>1481</v>
      </c>
      <c r="D142" s="1174"/>
      <c r="E142" s="1174">
        <v>2003</v>
      </c>
      <c r="F142" s="1175" t="s">
        <v>1707</v>
      </c>
      <c r="G142" s="766"/>
      <c r="H142" s="1176"/>
      <c r="I142" s="1138">
        <v>51.51</v>
      </c>
      <c r="J142" s="747" t="str">
        <f t="shared" ref="J142:J157" si="2">IF(ISBLANK(I142)," ",IF(ISTEXT(I142)," ",IF(I142&lt;=48.1,"МСМК",IF(I142&lt;=51,"МС",IF(I142&lt;=53.3,"КМС",IF(I142&lt;=57.3,"I",IF(I142&lt;=101.9,"II",IF(I142&lt;=107.8,"III",IF(I142&lt;=113.5,"I юн",IF(I142&lt;=119.6,"II юн",IF(I142&lt;=126,"III юн","б/р")))))))))))</f>
        <v>КМС</v>
      </c>
      <c r="K142" s="126">
        <v>39</v>
      </c>
    </row>
    <row r="143" spans="1:11" ht="14.25" customHeight="1">
      <c r="A143" s="1130">
        <v>5</v>
      </c>
      <c r="B143" s="1184" t="s">
        <v>27</v>
      </c>
      <c r="C143" s="1181" t="s">
        <v>1479</v>
      </c>
      <c r="D143" s="1181"/>
      <c r="E143" s="1182">
        <v>2000</v>
      </c>
      <c r="F143" s="1183" t="s">
        <v>1713</v>
      </c>
      <c r="G143" s="766"/>
      <c r="H143" s="1186"/>
      <c r="I143" s="1138">
        <v>51.51</v>
      </c>
      <c r="J143" s="747" t="str">
        <f t="shared" si="2"/>
        <v>КМС</v>
      </c>
      <c r="K143" s="126">
        <v>36</v>
      </c>
    </row>
    <row r="144" spans="1:11" ht="14.25" customHeight="1">
      <c r="A144" s="1130">
        <v>6</v>
      </c>
      <c r="B144" s="1207" t="s">
        <v>27</v>
      </c>
      <c r="C144" s="1205" t="s">
        <v>1484</v>
      </c>
      <c r="D144" s="1204"/>
      <c r="E144" s="1206">
        <v>2001</v>
      </c>
      <c r="F144" s="1215" t="s">
        <v>1716</v>
      </c>
      <c r="G144" s="766"/>
      <c r="H144" s="1160"/>
      <c r="I144" s="1138">
        <v>51.9</v>
      </c>
      <c r="J144" s="747" t="str">
        <f t="shared" si="2"/>
        <v>КМС</v>
      </c>
      <c r="K144" s="126">
        <v>33</v>
      </c>
    </row>
    <row r="145" spans="1:11" ht="14.25" customHeight="1">
      <c r="A145" s="1130">
        <v>7</v>
      </c>
      <c r="B145" s="1207" t="s">
        <v>27</v>
      </c>
      <c r="C145" s="1205" t="s">
        <v>1487</v>
      </c>
      <c r="D145" s="1204"/>
      <c r="E145" s="1206">
        <v>2003</v>
      </c>
      <c r="F145" s="1215" t="s">
        <v>1727</v>
      </c>
      <c r="G145" s="766"/>
      <c r="H145" s="1160"/>
      <c r="I145" s="1138">
        <v>51.93</v>
      </c>
      <c r="J145" s="747" t="str">
        <f t="shared" si="2"/>
        <v>КМС</v>
      </c>
      <c r="K145" s="126">
        <v>30</v>
      </c>
    </row>
    <row r="146" spans="1:11" ht="14.25" customHeight="1">
      <c r="A146" s="1130">
        <v>8</v>
      </c>
      <c r="B146" s="1184" t="s">
        <v>27</v>
      </c>
      <c r="C146" s="1181" t="s">
        <v>1478</v>
      </c>
      <c r="D146" s="1181"/>
      <c r="E146" s="1182">
        <v>2001</v>
      </c>
      <c r="F146" s="1183" t="s">
        <v>1713</v>
      </c>
      <c r="G146" s="766"/>
      <c r="H146" s="1186"/>
      <c r="I146" s="1138">
        <v>52.02</v>
      </c>
      <c r="J146" s="747" t="str">
        <f t="shared" si="2"/>
        <v>КМС</v>
      </c>
      <c r="K146" s="126">
        <v>27</v>
      </c>
    </row>
    <row r="147" spans="1:11" ht="14.25" customHeight="1">
      <c r="A147" s="1130">
        <v>9</v>
      </c>
      <c r="B147" s="1207" t="s">
        <v>25</v>
      </c>
      <c r="C147" s="1205" t="s">
        <v>580</v>
      </c>
      <c r="D147" s="1204"/>
      <c r="E147" s="1206">
        <v>1998</v>
      </c>
      <c r="F147" s="1289" t="s">
        <v>1695</v>
      </c>
      <c r="G147" s="766"/>
      <c r="H147" s="1160"/>
      <c r="I147" s="1138">
        <v>52.46</v>
      </c>
      <c r="J147" s="747" t="str">
        <f t="shared" si="2"/>
        <v>КМС</v>
      </c>
      <c r="K147" s="126">
        <v>24</v>
      </c>
    </row>
    <row r="148" spans="1:11" ht="14.25" customHeight="1">
      <c r="A148" s="1130">
        <v>10</v>
      </c>
      <c r="B148" s="1207" t="s">
        <v>27</v>
      </c>
      <c r="C148" s="1205" t="s">
        <v>1423</v>
      </c>
      <c r="D148" s="1204"/>
      <c r="E148" s="1206">
        <v>2002</v>
      </c>
      <c r="F148" s="1289" t="s">
        <v>1695</v>
      </c>
      <c r="G148" s="766"/>
      <c r="H148" s="1160"/>
      <c r="I148" s="1138">
        <v>52.55</v>
      </c>
      <c r="J148" s="747" t="str">
        <f t="shared" si="2"/>
        <v>КМС</v>
      </c>
      <c r="K148" s="126">
        <v>22</v>
      </c>
    </row>
    <row r="149" spans="1:11" ht="14.25" customHeight="1">
      <c r="A149" s="1130">
        <v>11</v>
      </c>
      <c r="B149" s="1207" t="s">
        <v>27</v>
      </c>
      <c r="C149" s="1205" t="s">
        <v>1426</v>
      </c>
      <c r="D149" s="1204"/>
      <c r="E149" s="1206">
        <v>2000</v>
      </c>
      <c r="F149" s="1289" t="s">
        <v>1695</v>
      </c>
      <c r="G149" s="766"/>
      <c r="H149" s="1160"/>
      <c r="I149" s="1138">
        <v>52.79</v>
      </c>
      <c r="J149" s="747" t="str">
        <f t="shared" si="2"/>
        <v>КМС</v>
      </c>
      <c r="K149" s="126">
        <v>20</v>
      </c>
    </row>
    <row r="150" spans="1:11" ht="14.25" customHeight="1">
      <c r="A150" s="1130">
        <v>12</v>
      </c>
      <c r="B150" s="1207" t="s">
        <v>15</v>
      </c>
      <c r="C150" s="1205" t="s">
        <v>1476</v>
      </c>
      <c r="D150" s="1204"/>
      <c r="E150" s="1206">
        <v>2001</v>
      </c>
      <c r="F150" s="1215" t="s">
        <v>1709</v>
      </c>
      <c r="G150" s="766"/>
      <c r="H150" s="1160"/>
      <c r="I150" s="1138">
        <v>53.56</v>
      </c>
      <c r="J150" s="747" t="str">
        <f t="shared" si="2"/>
        <v>I</v>
      </c>
      <c r="K150" s="126">
        <v>18</v>
      </c>
    </row>
    <row r="151" spans="1:11" ht="14.25" customHeight="1">
      <c r="A151" s="1130">
        <v>13</v>
      </c>
      <c r="B151" s="1178" t="s">
        <v>29</v>
      </c>
      <c r="C151" s="1173" t="s">
        <v>1483</v>
      </c>
      <c r="D151" s="1174"/>
      <c r="E151" s="1174">
        <v>2003</v>
      </c>
      <c r="F151" s="1175" t="s">
        <v>1707</v>
      </c>
      <c r="G151" s="766"/>
      <c r="H151" s="1176"/>
      <c r="I151" s="1138">
        <v>53.56</v>
      </c>
      <c r="J151" s="747" t="str">
        <f t="shared" si="2"/>
        <v>I</v>
      </c>
      <c r="K151" s="126">
        <v>16</v>
      </c>
    </row>
    <row r="152" spans="1:11" ht="14.25" customHeight="1">
      <c r="A152" s="1130">
        <v>14</v>
      </c>
      <c r="B152" s="1207" t="s">
        <v>29</v>
      </c>
      <c r="C152" s="1205" t="s">
        <v>1414</v>
      </c>
      <c r="D152" s="1204"/>
      <c r="E152" s="1206">
        <v>2001</v>
      </c>
      <c r="F152" s="1215" t="s">
        <v>1699</v>
      </c>
      <c r="G152" s="766"/>
      <c r="H152" s="1160"/>
      <c r="I152" s="1138">
        <v>55.14</v>
      </c>
      <c r="J152" s="747" t="str">
        <f t="shared" si="2"/>
        <v>I</v>
      </c>
      <c r="K152" s="126">
        <v>14</v>
      </c>
    </row>
    <row r="153" spans="1:11" ht="14.25" customHeight="1">
      <c r="A153" s="1130">
        <v>15</v>
      </c>
      <c r="B153" s="1207" t="s">
        <v>1</v>
      </c>
      <c r="C153" s="1173" t="s">
        <v>1480</v>
      </c>
      <c r="D153" s="1174"/>
      <c r="E153" s="1174">
        <v>2002</v>
      </c>
      <c r="F153" s="1175" t="s">
        <v>1707</v>
      </c>
      <c r="G153" s="766"/>
      <c r="H153" s="1176"/>
      <c r="I153" s="1138">
        <v>56.25</v>
      </c>
      <c r="J153" s="747" t="str">
        <f t="shared" si="2"/>
        <v>I</v>
      </c>
      <c r="K153" s="126">
        <v>12</v>
      </c>
    </row>
    <row r="154" spans="1:11" ht="14.25" customHeight="1">
      <c r="A154" s="1130">
        <v>16</v>
      </c>
      <c r="B154" s="1207" t="s">
        <v>25</v>
      </c>
      <c r="C154" s="1205" t="s">
        <v>1486</v>
      </c>
      <c r="D154" s="1204"/>
      <c r="E154" s="1206">
        <v>1997</v>
      </c>
      <c r="F154" s="1215" t="s">
        <v>1711</v>
      </c>
      <c r="G154" s="766"/>
      <c r="H154" s="1160"/>
      <c r="I154" s="1138">
        <v>57.27</v>
      </c>
      <c r="J154" s="747" t="str">
        <f t="shared" si="2"/>
        <v>I</v>
      </c>
      <c r="K154" s="126">
        <v>10</v>
      </c>
    </row>
    <row r="155" spans="1:11" ht="14.25" customHeight="1">
      <c r="A155" s="1130">
        <v>17</v>
      </c>
      <c r="B155" s="1207" t="s">
        <v>29</v>
      </c>
      <c r="C155" s="1205" t="s">
        <v>1539</v>
      </c>
      <c r="D155" s="1204"/>
      <c r="E155" s="1206">
        <v>2003</v>
      </c>
      <c r="F155" s="1289" t="s">
        <v>1699</v>
      </c>
      <c r="G155" s="766"/>
      <c r="H155" s="1160"/>
      <c r="I155" s="1138">
        <v>57.31</v>
      </c>
      <c r="J155" s="747" t="str">
        <f t="shared" si="2"/>
        <v>II</v>
      </c>
      <c r="K155" s="126">
        <v>8</v>
      </c>
    </row>
    <row r="156" spans="1:11" ht="14.25" customHeight="1">
      <c r="A156" s="1130">
        <v>18</v>
      </c>
      <c r="B156" s="1207" t="s">
        <v>1</v>
      </c>
      <c r="C156" s="1173" t="s">
        <v>1482</v>
      </c>
      <c r="D156" s="1174"/>
      <c r="E156" s="1174">
        <v>2003</v>
      </c>
      <c r="F156" s="1175" t="s">
        <v>1707</v>
      </c>
      <c r="G156" s="766"/>
      <c r="H156" s="1176"/>
      <c r="I156" s="1138">
        <v>57.31</v>
      </c>
      <c r="J156" s="747" t="str">
        <f t="shared" si="2"/>
        <v>II</v>
      </c>
      <c r="K156" s="126">
        <v>7</v>
      </c>
    </row>
    <row r="157" spans="1:11" ht="14.25" customHeight="1">
      <c r="A157" s="1130">
        <v>19</v>
      </c>
      <c r="B157" s="1207" t="s">
        <v>1</v>
      </c>
      <c r="C157" s="1205" t="s">
        <v>1540</v>
      </c>
      <c r="D157" s="1204"/>
      <c r="E157" s="1206">
        <v>2002</v>
      </c>
      <c r="F157" s="1289" t="s">
        <v>1699</v>
      </c>
      <c r="G157" s="766"/>
      <c r="H157" s="1160"/>
      <c r="I157" s="1138">
        <v>59.44</v>
      </c>
      <c r="J157" s="747" t="str">
        <f t="shared" si="2"/>
        <v>II</v>
      </c>
      <c r="K157" s="126">
        <v>6</v>
      </c>
    </row>
    <row r="158" spans="1:11" ht="14.25" customHeight="1">
      <c r="A158" s="1130">
        <v>20</v>
      </c>
      <c r="B158" s="1207" t="s">
        <v>15</v>
      </c>
      <c r="C158" s="1205" t="s">
        <v>1546</v>
      </c>
      <c r="D158" s="1204"/>
      <c r="E158" s="1206">
        <v>2001</v>
      </c>
      <c r="F158" s="1215" t="s">
        <v>1722</v>
      </c>
      <c r="G158" s="766"/>
      <c r="H158" s="1160"/>
      <c r="I158" s="1138" t="s">
        <v>1626</v>
      </c>
      <c r="J158" s="747" t="s">
        <v>1620</v>
      </c>
      <c r="K158" s="126">
        <v>5</v>
      </c>
    </row>
    <row r="159" spans="1:11" ht="14.25" customHeight="1">
      <c r="A159" s="1130">
        <v>21</v>
      </c>
      <c r="B159" s="1207" t="s">
        <v>15</v>
      </c>
      <c r="C159" s="1205" t="s">
        <v>1545</v>
      </c>
      <c r="D159" s="1204"/>
      <c r="E159" s="1206">
        <v>2001</v>
      </c>
      <c r="F159" s="1289" t="s">
        <v>1722</v>
      </c>
      <c r="G159" s="766"/>
      <c r="H159" s="1160"/>
      <c r="I159" s="1138" t="s">
        <v>1624</v>
      </c>
      <c r="J159" s="747" t="s">
        <v>1637</v>
      </c>
      <c r="K159" s="126">
        <v>4</v>
      </c>
    </row>
    <row r="160" spans="1:11" ht="14.25" customHeight="1">
      <c r="A160" s="1130"/>
      <c r="B160" s="1207" t="s">
        <v>1</v>
      </c>
      <c r="C160" s="1205" t="s">
        <v>1364</v>
      </c>
      <c r="D160" s="1204"/>
      <c r="E160" s="1206">
        <v>2000</v>
      </c>
      <c r="F160" s="1289" t="s">
        <v>1699</v>
      </c>
      <c r="G160" s="766"/>
      <c r="H160" s="1160"/>
      <c r="I160" s="1138" t="s">
        <v>1621</v>
      </c>
      <c r="J160" s="1270"/>
      <c r="K160" s="126">
        <v>0</v>
      </c>
    </row>
    <row r="161" spans="1:11">
      <c r="A161" s="57"/>
      <c r="B161" s="49"/>
      <c r="C161" s="1131"/>
      <c r="D161" s="1131"/>
      <c r="E161" s="1136"/>
      <c r="F161" s="1131"/>
      <c r="G161" s="1131"/>
      <c r="H161" s="1133"/>
      <c r="I161" s="1138"/>
      <c r="J161" s="1196"/>
      <c r="K161" s="125"/>
    </row>
    <row r="162" spans="1:11">
      <c r="A162" s="57"/>
      <c r="B162" s="535"/>
      <c r="C162" s="524" t="s">
        <v>1421</v>
      </c>
      <c r="D162" s="542"/>
      <c r="E162" s="542"/>
      <c r="F162" s="542"/>
      <c r="G162" s="542"/>
      <c r="H162" s="1164"/>
      <c r="I162" s="1138"/>
      <c r="J162" s="1196"/>
      <c r="K162" s="1441"/>
    </row>
    <row r="163" spans="1:11">
      <c r="A163" s="1130"/>
      <c r="B163" s="1207"/>
      <c r="C163" s="1205"/>
      <c r="D163" s="1204"/>
      <c r="E163" s="1203"/>
      <c r="F163" s="1215"/>
      <c r="G163" s="766"/>
      <c r="H163" s="1160"/>
      <c r="I163" s="1138"/>
      <c r="J163" s="747"/>
      <c r="K163" s="1210"/>
    </row>
    <row r="164" spans="1:11">
      <c r="A164" s="1130">
        <v>1</v>
      </c>
      <c r="B164" s="1202" t="s">
        <v>27</v>
      </c>
      <c r="C164" s="1205" t="s">
        <v>1349</v>
      </c>
      <c r="D164" s="1204"/>
      <c r="E164" s="1206">
        <v>2003</v>
      </c>
      <c r="F164" s="1215" t="s">
        <v>1695</v>
      </c>
      <c r="G164" s="1192"/>
      <c r="H164" s="1160"/>
      <c r="I164" s="1138">
        <v>44.49</v>
      </c>
      <c r="J164" s="747" t="s">
        <v>29</v>
      </c>
      <c r="K164" s="126">
        <v>50</v>
      </c>
    </row>
    <row r="165" spans="1:11">
      <c r="A165" s="1130">
        <v>2</v>
      </c>
      <c r="B165" s="1207" t="s">
        <v>27</v>
      </c>
      <c r="C165" s="1205" t="s">
        <v>1408</v>
      </c>
      <c r="D165" s="1204"/>
      <c r="E165" s="1206">
        <v>2001</v>
      </c>
      <c r="F165" s="1289" t="s">
        <v>1695</v>
      </c>
      <c r="G165" s="1192"/>
      <c r="H165" s="1160"/>
      <c r="I165" s="1138">
        <v>45.17</v>
      </c>
      <c r="J165" s="747" t="str">
        <f t="shared" ref="J165:J182" si="3">IF(ISBLANK(I165)," ",IF(ISTEXT(I165)," ",IF(I165&lt;=43.3,"МСМК",IF(I165&lt;=45.1,"МС",IF(I165&lt;=47.3,"КМС",IF(I165&lt;=50.8,"I",IF(I165&lt;=55.9,"II",IF(I165&lt;=100.4,"III",IF(I165&lt;=106,"I юн",IF(I165&lt;=112,"II юн",IF(I165&lt;=118.5,"III юн","б/р")))))))))))</f>
        <v>КМС</v>
      </c>
      <c r="K165" s="126">
        <v>46</v>
      </c>
    </row>
    <row r="166" spans="1:11">
      <c r="A166" s="1130">
        <v>3</v>
      </c>
      <c r="B166" s="1207" t="s">
        <v>27</v>
      </c>
      <c r="C166" s="1167" t="s">
        <v>1508</v>
      </c>
      <c r="D166" s="1194"/>
      <c r="E166" s="1194">
        <v>2003</v>
      </c>
      <c r="F166" s="1190" t="s">
        <v>1707</v>
      </c>
      <c r="G166" s="1192"/>
      <c r="H166" s="1163"/>
      <c r="I166" s="1138">
        <v>45.6</v>
      </c>
      <c r="J166" s="747" t="str">
        <f t="shared" si="3"/>
        <v>КМС</v>
      </c>
      <c r="K166" s="126">
        <v>42</v>
      </c>
    </row>
    <row r="167" spans="1:11">
      <c r="A167" s="1130">
        <v>4</v>
      </c>
      <c r="B167" s="1207" t="s">
        <v>29</v>
      </c>
      <c r="C167" s="1205" t="s">
        <v>1496</v>
      </c>
      <c r="D167" s="1204"/>
      <c r="E167" s="1206">
        <v>2001</v>
      </c>
      <c r="F167" s="1215" t="s">
        <v>1695</v>
      </c>
      <c r="G167" s="1192"/>
      <c r="H167" s="1160"/>
      <c r="I167" s="1138">
        <v>46.11</v>
      </c>
      <c r="J167" s="747" t="str">
        <f t="shared" si="3"/>
        <v>КМС</v>
      </c>
      <c r="K167" s="126">
        <v>39</v>
      </c>
    </row>
    <row r="168" spans="1:11">
      <c r="A168" s="1130">
        <v>5</v>
      </c>
      <c r="B168" s="1207" t="s">
        <v>27</v>
      </c>
      <c r="C168" s="1205" t="s">
        <v>1374</v>
      </c>
      <c r="D168" s="1204"/>
      <c r="E168" s="1206">
        <v>2003</v>
      </c>
      <c r="F168" s="1289" t="s">
        <v>1695</v>
      </c>
      <c r="G168" s="1192"/>
      <c r="H168" s="1160"/>
      <c r="I168" s="1138">
        <v>46.86</v>
      </c>
      <c r="J168" s="747" t="str">
        <f t="shared" si="3"/>
        <v>КМС</v>
      </c>
      <c r="K168" s="126">
        <v>36</v>
      </c>
    </row>
    <row r="169" spans="1:11">
      <c r="A169" s="1130">
        <v>6</v>
      </c>
      <c r="B169" s="1207" t="s">
        <v>1</v>
      </c>
      <c r="C169" s="1167" t="s">
        <v>1509</v>
      </c>
      <c r="D169" s="1194"/>
      <c r="E169" s="1194">
        <v>2000</v>
      </c>
      <c r="F169" s="1190" t="s">
        <v>1707</v>
      </c>
      <c r="G169" s="1192"/>
      <c r="H169" s="1163"/>
      <c r="I169" s="1138">
        <v>46.92</v>
      </c>
      <c r="J169" s="747" t="str">
        <f t="shared" si="3"/>
        <v>КМС</v>
      </c>
      <c r="K169" s="1334" t="s">
        <v>12</v>
      </c>
    </row>
    <row r="170" spans="1:11">
      <c r="A170" s="1130">
        <v>7</v>
      </c>
      <c r="B170" s="1207" t="s">
        <v>27</v>
      </c>
      <c r="C170" s="1205" t="s">
        <v>1501</v>
      </c>
      <c r="D170" s="1204"/>
      <c r="E170" s="1206">
        <v>1998</v>
      </c>
      <c r="F170" s="1289" t="s">
        <v>1695</v>
      </c>
      <c r="G170" s="1192"/>
      <c r="H170" s="1160"/>
      <c r="I170" s="1138">
        <v>48.11</v>
      </c>
      <c r="J170" s="747" t="str">
        <f t="shared" si="3"/>
        <v>I</v>
      </c>
      <c r="K170" s="1334" t="s">
        <v>12</v>
      </c>
    </row>
    <row r="171" spans="1:11">
      <c r="A171" s="1130">
        <v>8</v>
      </c>
      <c r="B171" s="1202" t="s">
        <v>29</v>
      </c>
      <c r="C171" s="1205" t="s">
        <v>1503</v>
      </c>
      <c r="D171" s="1204"/>
      <c r="E171" s="1206">
        <v>2002</v>
      </c>
      <c r="F171" s="23" t="s">
        <v>1723</v>
      </c>
      <c r="G171" s="1192"/>
      <c r="H171" s="1160"/>
      <c r="I171" s="1138">
        <v>48.65</v>
      </c>
      <c r="J171" s="747" t="str">
        <f t="shared" si="3"/>
        <v>I</v>
      </c>
      <c r="K171" s="1334">
        <v>33</v>
      </c>
    </row>
    <row r="172" spans="1:11">
      <c r="A172" s="1130">
        <v>9</v>
      </c>
      <c r="B172" s="1207" t="s">
        <v>13</v>
      </c>
      <c r="C172" s="1205" t="s">
        <v>1420</v>
      </c>
      <c r="D172" s="1204"/>
      <c r="E172" s="1206">
        <v>2002</v>
      </c>
      <c r="F172" s="1215" t="s">
        <v>1699</v>
      </c>
      <c r="G172" s="1192"/>
      <c r="H172" s="1160"/>
      <c r="I172" s="1138">
        <v>48.71</v>
      </c>
      <c r="J172" s="747" t="str">
        <f t="shared" si="3"/>
        <v>I</v>
      </c>
      <c r="K172" s="1334">
        <v>30</v>
      </c>
    </row>
    <row r="173" spans="1:11">
      <c r="A173" s="1130">
        <v>10</v>
      </c>
      <c r="B173" s="1168" t="s">
        <v>29</v>
      </c>
      <c r="C173" s="1205" t="s">
        <v>1507</v>
      </c>
      <c r="D173" s="1204"/>
      <c r="E173" s="1206">
        <v>2003</v>
      </c>
      <c r="F173" s="1289" t="s">
        <v>1699</v>
      </c>
      <c r="G173" s="1192"/>
      <c r="H173" s="1160"/>
      <c r="I173" s="1138">
        <v>48.8</v>
      </c>
      <c r="J173" s="747" t="str">
        <f t="shared" si="3"/>
        <v>I</v>
      </c>
      <c r="K173" s="1334">
        <v>27</v>
      </c>
    </row>
    <row r="174" spans="1:11">
      <c r="A174" s="1130">
        <v>11</v>
      </c>
      <c r="B174" s="1207" t="s">
        <v>1</v>
      </c>
      <c r="C174" s="1205" t="s">
        <v>1497</v>
      </c>
      <c r="D174" s="1204"/>
      <c r="E174" s="1206">
        <v>2002</v>
      </c>
      <c r="F174" s="1289" t="s">
        <v>1695</v>
      </c>
      <c r="G174" s="1192"/>
      <c r="H174" s="1160"/>
      <c r="I174" s="1138">
        <v>49.43</v>
      </c>
      <c r="J174" s="747" t="str">
        <f t="shared" si="3"/>
        <v>I</v>
      </c>
      <c r="K174" s="1334" t="s">
        <v>12</v>
      </c>
    </row>
    <row r="175" spans="1:11">
      <c r="A175" s="1130">
        <v>12</v>
      </c>
      <c r="B175" s="1202" t="s">
        <v>15</v>
      </c>
      <c r="C175" s="1205" t="s">
        <v>1506</v>
      </c>
      <c r="D175" s="1204"/>
      <c r="E175" s="1207">
        <v>1996</v>
      </c>
      <c r="F175" s="1215" t="s">
        <v>1709</v>
      </c>
      <c r="G175" s="1192"/>
      <c r="H175" s="1160"/>
      <c r="I175" s="1138">
        <v>49.46</v>
      </c>
      <c r="J175" s="747" t="str">
        <f t="shared" si="3"/>
        <v>I</v>
      </c>
      <c r="K175" s="126">
        <v>24</v>
      </c>
    </row>
    <row r="176" spans="1:11">
      <c r="A176" s="1130">
        <v>13</v>
      </c>
      <c r="B176" s="1207" t="s">
        <v>29</v>
      </c>
      <c r="C176" s="1205" t="s">
        <v>1391</v>
      </c>
      <c r="D176" s="1204"/>
      <c r="E176" s="1206">
        <v>2003</v>
      </c>
      <c r="F176" s="1289" t="s">
        <v>1699</v>
      </c>
      <c r="G176" s="1192"/>
      <c r="H176" s="1160"/>
      <c r="I176" s="1138">
        <v>50.02</v>
      </c>
      <c r="J176" s="747" t="str">
        <f t="shared" si="3"/>
        <v>I</v>
      </c>
      <c r="K176" s="1334">
        <v>22</v>
      </c>
    </row>
    <row r="177" spans="1:11">
      <c r="A177" s="1130">
        <v>14</v>
      </c>
      <c r="B177" s="1207" t="s">
        <v>1</v>
      </c>
      <c r="C177" s="1205" t="s">
        <v>1498</v>
      </c>
      <c r="D177" s="1204"/>
      <c r="E177" s="1206">
        <v>2003</v>
      </c>
      <c r="F177" s="1289" t="s">
        <v>1695</v>
      </c>
      <c r="G177" s="1192"/>
      <c r="H177" s="1160"/>
      <c r="I177" s="1138">
        <v>50.37</v>
      </c>
      <c r="J177" s="747" t="str">
        <f t="shared" si="3"/>
        <v>I</v>
      </c>
      <c r="K177" s="1334" t="s">
        <v>12</v>
      </c>
    </row>
    <row r="178" spans="1:11">
      <c r="A178" s="1130">
        <v>15</v>
      </c>
      <c r="B178" s="1207" t="s">
        <v>29</v>
      </c>
      <c r="C178" s="1205" t="s">
        <v>1378</v>
      </c>
      <c r="D178" s="1204"/>
      <c r="E178" s="1206">
        <v>2002</v>
      </c>
      <c r="F178" s="1289" t="s">
        <v>1695</v>
      </c>
      <c r="G178" s="1192"/>
      <c r="H178" s="1160"/>
      <c r="I178" s="1138">
        <v>50.66</v>
      </c>
      <c r="J178" s="747" t="str">
        <f t="shared" si="3"/>
        <v>I</v>
      </c>
      <c r="K178" s="1334" t="s">
        <v>12</v>
      </c>
    </row>
    <row r="179" spans="1:11">
      <c r="A179" s="1130">
        <v>16</v>
      </c>
      <c r="B179" s="1207" t="s">
        <v>1</v>
      </c>
      <c r="C179" s="1205" t="s">
        <v>1500</v>
      </c>
      <c r="D179" s="1204"/>
      <c r="E179" s="1206">
        <v>2003</v>
      </c>
      <c r="F179" s="1289" t="s">
        <v>1695</v>
      </c>
      <c r="G179" s="1192"/>
      <c r="H179" s="1160"/>
      <c r="I179" s="1138">
        <v>50.67</v>
      </c>
      <c r="J179" s="747" t="str">
        <f t="shared" si="3"/>
        <v>I</v>
      </c>
      <c r="K179" s="1334" t="s">
        <v>12</v>
      </c>
    </row>
    <row r="180" spans="1:11">
      <c r="A180" s="1130">
        <v>17</v>
      </c>
      <c r="B180" s="1207" t="s">
        <v>29</v>
      </c>
      <c r="C180" s="1205" t="s">
        <v>1543</v>
      </c>
      <c r="D180" s="1204"/>
      <c r="E180" s="1206">
        <v>1999</v>
      </c>
      <c r="F180" s="1215" t="s">
        <v>1722</v>
      </c>
      <c r="G180" s="1192"/>
      <c r="H180" s="1160"/>
      <c r="I180" s="1138">
        <v>51.04</v>
      </c>
      <c r="J180" s="747" t="str">
        <f t="shared" si="3"/>
        <v>II</v>
      </c>
      <c r="K180" s="1334">
        <v>20</v>
      </c>
    </row>
    <row r="181" spans="1:11">
      <c r="A181" s="1130">
        <v>18</v>
      </c>
      <c r="B181" s="1202" t="s">
        <v>15</v>
      </c>
      <c r="C181" s="1205" t="s">
        <v>1505</v>
      </c>
      <c r="D181" s="1204"/>
      <c r="E181" s="1206">
        <v>2000</v>
      </c>
      <c r="F181" s="1289" t="s">
        <v>1709</v>
      </c>
      <c r="G181" s="1155"/>
      <c r="H181" s="1160"/>
      <c r="I181" s="1138">
        <v>51.63</v>
      </c>
      <c r="J181" s="747" t="str">
        <f t="shared" si="3"/>
        <v>II</v>
      </c>
      <c r="K181" s="1334">
        <v>18</v>
      </c>
    </row>
    <row r="182" spans="1:11">
      <c r="A182" s="1130">
        <v>19</v>
      </c>
      <c r="B182" s="1207" t="s">
        <v>13</v>
      </c>
      <c r="C182" s="1205" t="s">
        <v>1499</v>
      </c>
      <c r="D182" s="1204"/>
      <c r="E182" s="1206">
        <v>2003</v>
      </c>
      <c r="F182" s="1289" t="s">
        <v>1695</v>
      </c>
      <c r="G182" s="1192"/>
      <c r="H182" s="1160"/>
      <c r="I182" s="1138">
        <v>53.67</v>
      </c>
      <c r="J182" s="747" t="str">
        <f t="shared" si="3"/>
        <v>II</v>
      </c>
      <c r="K182" s="1334" t="s">
        <v>12</v>
      </c>
    </row>
    <row r="183" spans="1:11">
      <c r="A183" s="1130"/>
      <c r="B183" s="1207" t="s">
        <v>29</v>
      </c>
      <c r="C183" s="1205" t="s">
        <v>1504</v>
      </c>
      <c r="D183" s="1204"/>
      <c r="E183" s="1206">
        <v>1997</v>
      </c>
      <c r="F183" s="23" t="s">
        <v>1723</v>
      </c>
      <c r="G183" s="1192"/>
      <c r="H183" s="1160"/>
      <c r="I183" s="1138" t="s">
        <v>1622</v>
      </c>
      <c r="J183" s="1270"/>
      <c r="K183" s="1252">
        <v>0</v>
      </c>
    </row>
    <row r="184" spans="1:11">
      <c r="A184" s="1130"/>
      <c r="B184" s="1168"/>
      <c r="C184" s="1205"/>
      <c r="D184" s="1204"/>
      <c r="E184" s="1206"/>
      <c r="F184" s="1215"/>
      <c r="G184" s="766"/>
      <c r="H184" s="1160"/>
      <c r="I184" s="1138"/>
      <c r="J184" s="747"/>
      <c r="K184" s="1210"/>
    </row>
    <row r="185" spans="1:11">
      <c r="A185" s="1130"/>
      <c r="B185" s="1207"/>
      <c r="C185" s="524" t="s">
        <v>1688</v>
      </c>
      <c r="D185" s="525"/>
      <c r="E185" s="526"/>
      <c r="F185" s="524"/>
      <c r="G185" s="1215"/>
      <c r="H185" s="1160"/>
      <c r="I185" s="1138"/>
      <c r="J185" s="1196"/>
      <c r="K185" s="1210"/>
    </row>
    <row r="186" spans="1:11" ht="9.75" customHeight="1">
      <c r="A186" s="1130"/>
      <c r="B186" s="1158"/>
      <c r="C186" s="1205"/>
      <c r="D186" s="1204"/>
      <c r="E186" s="1206"/>
      <c r="F186" s="1215"/>
      <c r="G186" s="1215"/>
      <c r="H186" s="1162"/>
      <c r="I186" s="1138"/>
      <c r="J186" s="1196"/>
      <c r="K186" s="1210"/>
    </row>
    <row r="187" spans="1:11">
      <c r="A187" s="1130">
        <v>1</v>
      </c>
      <c r="B187" s="1207" t="s">
        <v>27</v>
      </c>
      <c r="C187" s="1205" t="s">
        <v>1541</v>
      </c>
      <c r="D187" s="1204"/>
      <c r="E187" s="1206">
        <v>2003</v>
      </c>
      <c r="F187" s="1215" t="s">
        <v>1726</v>
      </c>
      <c r="G187" s="767"/>
      <c r="H187" s="1159"/>
      <c r="I187" s="1138" t="s">
        <v>1639</v>
      </c>
      <c r="J187" s="747" t="s">
        <v>29</v>
      </c>
      <c r="K187" s="126">
        <v>50</v>
      </c>
    </row>
    <row r="188" spans="1:11">
      <c r="A188" s="1130">
        <v>2</v>
      </c>
      <c r="B188" s="1207" t="s">
        <v>27</v>
      </c>
      <c r="C188" s="1205" t="s">
        <v>1535</v>
      </c>
      <c r="D188" s="1204"/>
      <c r="E188" s="1206">
        <v>2002</v>
      </c>
      <c r="F188" s="1215" t="s">
        <v>1725</v>
      </c>
      <c r="G188" s="767"/>
      <c r="H188" s="1159"/>
      <c r="I188" s="1138" t="s">
        <v>1641</v>
      </c>
      <c r="J188" s="747" t="s">
        <v>29</v>
      </c>
      <c r="K188" s="126">
        <v>46</v>
      </c>
    </row>
    <row r="189" spans="1:11">
      <c r="A189" s="1130">
        <v>3</v>
      </c>
      <c r="B189" s="1207" t="s">
        <v>27</v>
      </c>
      <c r="C189" s="1205" t="s">
        <v>595</v>
      </c>
      <c r="D189" s="1204"/>
      <c r="E189" s="1206">
        <v>2000</v>
      </c>
      <c r="F189" s="1205" t="s">
        <v>1695</v>
      </c>
      <c r="G189" s="767"/>
      <c r="H189" s="1159"/>
      <c r="I189" s="1138" t="s">
        <v>1640</v>
      </c>
      <c r="J189" s="747" t="s">
        <v>1</v>
      </c>
      <c r="K189" s="126">
        <v>42</v>
      </c>
    </row>
    <row r="190" spans="1:11">
      <c r="A190" s="1130">
        <v>4</v>
      </c>
      <c r="B190" s="1168" t="s">
        <v>27</v>
      </c>
      <c r="C190" s="1205" t="s">
        <v>666</v>
      </c>
      <c r="D190" s="1193"/>
      <c r="E190" s="1206">
        <v>2003</v>
      </c>
      <c r="F190" s="1205" t="s">
        <v>1699</v>
      </c>
      <c r="G190" s="767"/>
      <c r="H190" s="1159"/>
      <c r="I190" s="1138" t="s">
        <v>1643</v>
      </c>
      <c r="J190" s="747" t="s">
        <v>1</v>
      </c>
      <c r="K190" s="126">
        <v>39</v>
      </c>
    </row>
    <row r="191" spans="1:11">
      <c r="A191" s="1130">
        <v>5</v>
      </c>
      <c r="B191" s="1207" t="s">
        <v>29</v>
      </c>
      <c r="C191" s="1205" t="s">
        <v>1434</v>
      </c>
      <c r="D191" s="1193"/>
      <c r="E191" s="1206">
        <v>2003</v>
      </c>
      <c r="F191" s="1205" t="s">
        <v>1699</v>
      </c>
      <c r="G191" s="767"/>
      <c r="H191" s="1159"/>
      <c r="I191" s="1138" t="s">
        <v>1644</v>
      </c>
      <c r="J191" s="747" t="s">
        <v>13</v>
      </c>
      <c r="K191" s="126">
        <v>36</v>
      </c>
    </row>
    <row r="192" spans="1:11">
      <c r="A192" s="1130">
        <v>6</v>
      </c>
      <c r="B192" s="1197" t="s">
        <v>27</v>
      </c>
      <c r="C192" s="767" t="s">
        <v>567</v>
      </c>
      <c r="D192" s="1204"/>
      <c r="E192" s="1203">
        <v>1999</v>
      </c>
      <c r="F192" s="767" t="s">
        <v>1695</v>
      </c>
      <c r="G192" s="767"/>
      <c r="H192" s="1159"/>
      <c r="I192" s="1138" t="s">
        <v>1645</v>
      </c>
      <c r="J192" s="747" t="s">
        <v>13</v>
      </c>
      <c r="K192" s="126">
        <v>33</v>
      </c>
    </row>
    <row r="193" spans="1:11">
      <c r="A193" s="1130"/>
      <c r="J193" s="1196"/>
      <c r="K193" s="126"/>
    </row>
    <row r="194" spans="1:11">
      <c r="A194" s="1130"/>
      <c r="B194" s="1207"/>
      <c r="C194" s="524" t="s">
        <v>138</v>
      </c>
      <c r="D194" s="525"/>
      <c r="E194" s="526"/>
      <c r="F194" s="524"/>
      <c r="G194" s="1215"/>
      <c r="H194" s="1160"/>
      <c r="I194" s="1138"/>
      <c r="J194" s="1196"/>
      <c r="K194" s="126"/>
    </row>
    <row r="195" spans="1:11">
      <c r="A195" s="1130"/>
      <c r="B195" s="1207"/>
      <c r="C195" s="1205"/>
      <c r="D195" s="1204"/>
      <c r="E195" s="1206"/>
      <c r="F195" s="1215"/>
      <c r="G195" s="1215"/>
      <c r="H195" s="1160"/>
      <c r="I195" s="1138"/>
      <c r="J195" s="1196"/>
      <c r="K195" s="1210"/>
    </row>
    <row r="196" spans="1:11">
      <c r="A196" s="1130">
        <v>1</v>
      </c>
      <c r="B196" s="1202" t="s">
        <v>25</v>
      </c>
      <c r="C196" s="1205" t="s">
        <v>1462</v>
      </c>
      <c r="D196" s="1204"/>
      <c r="E196" s="1206">
        <v>2001</v>
      </c>
      <c r="F196" s="23" t="s">
        <v>1711</v>
      </c>
      <c r="G196" s="766"/>
      <c r="H196" s="1159"/>
      <c r="I196" s="1138" t="s">
        <v>1647</v>
      </c>
      <c r="J196" s="747" t="s">
        <v>29</v>
      </c>
      <c r="K196" s="126">
        <v>50</v>
      </c>
    </row>
    <row r="197" spans="1:11">
      <c r="A197" s="1130">
        <v>2</v>
      </c>
      <c r="B197" s="1207" t="s">
        <v>27</v>
      </c>
      <c r="C197" s="1205" t="s">
        <v>1529</v>
      </c>
      <c r="D197" s="1204"/>
      <c r="E197" s="1206">
        <v>2003</v>
      </c>
      <c r="F197" s="1215" t="s">
        <v>1716</v>
      </c>
      <c r="G197" s="766"/>
      <c r="H197" s="1159"/>
      <c r="I197" s="1138" t="s">
        <v>1648</v>
      </c>
      <c r="J197" s="747" t="s">
        <v>1</v>
      </c>
      <c r="K197" s="126">
        <v>46</v>
      </c>
    </row>
    <row r="198" spans="1:11">
      <c r="A198" s="1130"/>
      <c r="B198" s="1207"/>
      <c r="G198" s="1215"/>
      <c r="H198" s="1160"/>
      <c r="I198" s="1138"/>
      <c r="J198" s="1196"/>
      <c r="K198" s="1210"/>
    </row>
    <row r="199" spans="1:11">
      <c r="K199" s="1210"/>
    </row>
    <row r="200" spans="1:11">
      <c r="A200" s="1210"/>
      <c r="B200" s="1210"/>
      <c r="C200" s="524" t="s">
        <v>1813</v>
      </c>
      <c r="D200" s="525"/>
      <c r="E200" s="526"/>
      <c r="F200" s="524"/>
      <c r="G200" s="524"/>
      <c r="H200" s="537"/>
      <c r="I200" s="529"/>
      <c r="K200" s="1210"/>
    </row>
    <row r="201" spans="1:11" ht="18">
      <c r="A201" s="133"/>
      <c r="C201" s="135"/>
      <c r="D201" s="133"/>
      <c r="E201" s="1129"/>
      <c r="F201" s="133"/>
      <c r="G201" s="133"/>
      <c r="H201" s="729"/>
      <c r="K201" s="1443"/>
    </row>
    <row r="202" spans="1:11">
      <c r="A202" s="1130">
        <v>1</v>
      </c>
      <c r="B202" s="1207" t="s">
        <v>23</v>
      </c>
      <c r="C202" s="1167" t="s">
        <v>1736</v>
      </c>
      <c r="D202" s="1155"/>
      <c r="E202" s="1197">
        <v>1999</v>
      </c>
      <c r="F202" s="1313" t="s">
        <v>1707</v>
      </c>
      <c r="G202" s="766"/>
      <c r="I202" s="1160">
        <v>18.399999999999999</v>
      </c>
      <c r="J202" s="747" t="s">
        <v>29</v>
      </c>
      <c r="K202" s="538">
        <v>50</v>
      </c>
    </row>
    <row r="203" spans="1:11">
      <c r="A203" s="1130">
        <v>2</v>
      </c>
      <c r="B203" s="1207" t="s">
        <v>25</v>
      </c>
      <c r="C203" s="1167" t="s">
        <v>1534</v>
      </c>
      <c r="D203" s="1155"/>
      <c r="E203" s="1194">
        <v>2003</v>
      </c>
      <c r="F203" s="1195" t="s">
        <v>1707</v>
      </c>
      <c r="G203" s="766"/>
      <c r="I203" s="1163">
        <v>19.41</v>
      </c>
      <c r="J203" s="747" t="str">
        <f t="shared" ref="J203:J207" si="4">IF(ISBLANK(I203)," ",IF(ISTEXT(I203)," ",IF(I203&lt;=18.1,"МСМК",IF(I203&lt;=19,"МС",IF(I203&lt;=19.7,"КМС",IF(I203&lt;=21.1,"I",IF(I203&lt;=22.9,"II",IF(I203&lt;=24.8,"III",IF(I203&lt;=27.4,"I юн",IF(I203&lt;=30,"II юн",IF(I203&lt;=32.4,"III юн",IF(ISTEXT(I203)," ",IF(ISBLANK(I203)," ","б/р")))))))))))))</f>
        <v>КМС</v>
      </c>
      <c r="K203" s="1239" t="s">
        <v>12</v>
      </c>
    </row>
    <row r="204" spans="1:11">
      <c r="A204" s="1130">
        <v>3</v>
      </c>
      <c r="B204" s="1207" t="s">
        <v>27</v>
      </c>
      <c r="C204" s="1205" t="s">
        <v>1735</v>
      </c>
      <c r="D204" s="1204"/>
      <c r="E204" s="1206">
        <v>2001</v>
      </c>
      <c r="F204" s="1310" t="s">
        <v>1711</v>
      </c>
      <c r="G204" s="766"/>
      <c r="I204" s="1160">
        <v>20.079999999999998</v>
      </c>
      <c r="J204" s="747" t="str">
        <f t="shared" si="4"/>
        <v>I</v>
      </c>
      <c r="K204" s="538">
        <v>46</v>
      </c>
    </row>
    <row r="205" spans="1:11">
      <c r="A205" s="1130">
        <v>4</v>
      </c>
      <c r="B205" s="1207" t="s">
        <v>27</v>
      </c>
      <c r="C205" s="1167" t="s">
        <v>1734</v>
      </c>
      <c r="D205" s="1155"/>
      <c r="E205" s="1194">
        <v>2001</v>
      </c>
      <c r="F205" s="1195" t="s">
        <v>1707</v>
      </c>
      <c r="G205" s="766"/>
      <c r="I205" s="1160">
        <v>20.65</v>
      </c>
      <c r="J205" s="747" t="str">
        <f t="shared" si="4"/>
        <v>I</v>
      </c>
      <c r="K205" s="538">
        <v>42</v>
      </c>
    </row>
    <row r="206" spans="1:11">
      <c r="A206" s="1130">
        <v>5</v>
      </c>
      <c r="B206" s="1207" t="s">
        <v>1</v>
      </c>
      <c r="C206" s="1205" t="s">
        <v>1435</v>
      </c>
      <c r="D206" s="1204"/>
      <c r="E206" s="1206">
        <v>2003</v>
      </c>
      <c r="F206" s="1310" t="s">
        <v>1699</v>
      </c>
      <c r="G206" s="766"/>
      <c r="I206" s="1160">
        <v>22.78</v>
      </c>
      <c r="J206" s="747" t="str">
        <f t="shared" si="4"/>
        <v>II</v>
      </c>
      <c r="K206" s="1239" t="s">
        <v>12</v>
      </c>
    </row>
    <row r="207" spans="1:11">
      <c r="A207" s="1130">
        <v>6</v>
      </c>
      <c r="B207" s="1207" t="s">
        <v>1</v>
      </c>
      <c r="C207" s="1167" t="s">
        <v>1480</v>
      </c>
      <c r="D207" s="1314"/>
      <c r="E207" s="1194">
        <v>2002</v>
      </c>
      <c r="F207" s="1195" t="s">
        <v>1707</v>
      </c>
      <c r="G207" s="766"/>
      <c r="I207" s="1160">
        <v>23.49</v>
      </c>
      <c r="J207" s="747" t="str">
        <f t="shared" si="4"/>
        <v>III</v>
      </c>
      <c r="K207" s="1444">
        <v>39</v>
      </c>
    </row>
    <row r="208" spans="1:11">
      <c r="A208" s="1130"/>
      <c r="B208" s="1207" t="s">
        <v>27</v>
      </c>
      <c r="C208" s="1205" t="s">
        <v>1347</v>
      </c>
      <c r="D208" s="1204"/>
      <c r="E208" s="1206">
        <v>2003</v>
      </c>
      <c r="F208" s="1310" t="s">
        <v>1691</v>
      </c>
      <c r="G208" s="766"/>
      <c r="I208" s="1160" t="s">
        <v>1621</v>
      </c>
      <c r="K208" s="126">
        <v>0</v>
      </c>
    </row>
    <row r="209" spans="1:11">
      <c r="A209" s="1130"/>
      <c r="B209" s="1210"/>
      <c r="C209" s="1210"/>
      <c r="D209" s="1210"/>
      <c r="E209" s="1210"/>
      <c r="F209" s="1210"/>
      <c r="G209" s="1210"/>
      <c r="I209" s="1210"/>
      <c r="K209" s="1239"/>
    </row>
    <row r="210" spans="1:11">
      <c r="A210" s="1130"/>
      <c r="B210" s="1207"/>
      <c r="C210" s="524" t="s">
        <v>1814</v>
      </c>
      <c r="D210" s="525"/>
      <c r="E210" s="526"/>
      <c r="F210" s="524"/>
      <c r="G210" s="524"/>
      <c r="I210" s="1160"/>
      <c r="K210" s="1210"/>
    </row>
    <row r="211" spans="1:11">
      <c r="A211" s="1130"/>
      <c r="B211" s="1207"/>
      <c r="C211" s="1205"/>
      <c r="D211" s="1204"/>
      <c r="E211" s="1206"/>
      <c r="F211" s="1310"/>
      <c r="G211" s="765"/>
      <c r="I211" s="1160"/>
      <c r="K211" s="1210"/>
    </row>
    <row r="212" spans="1:11">
      <c r="A212" s="1130">
        <v>1</v>
      </c>
      <c r="B212" s="1177" t="s">
        <v>23</v>
      </c>
      <c r="C212" s="1157" t="s">
        <v>1453</v>
      </c>
      <c r="D212" s="1166"/>
      <c r="E212" s="1206">
        <v>2002</v>
      </c>
      <c r="F212" s="1310" t="s">
        <v>1712</v>
      </c>
      <c r="G212" s="767"/>
      <c r="I212" s="1160">
        <v>15.97</v>
      </c>
      <c r="J212" s="747" t="s">
        <v>29</v>
      </c>
      <c r="K212" s="126">
        <v>50</v>
      </c>
    </row>
    <row r="213" spans="1:11">
      <c r="A213" s="1130">
        <v>2</v>
      </c>
      <c r="B213" s="1197" t="s">
        <v>27</v>
      </c>
      <c r="C213" s="1317" t="s">
        <v>1461</v>
      </c>
      <c r="D213" s="1315"/>
      <c r="E213" s="1194">
        <v>2003</v>
      </c>
      <c r="F213" s="1195" t="s">
        <v>1707</v>
      </c>
      <c r="G213" s="767"/>
      <c r="I213" s="1160">
        <v>17.100000000000001</v>
      </c>
      <c r="J213" s="747" t="str">
        <f t="shared" ref="J213:J224" si="5">IF(ISBLANK(I213)," ",IF(ISTEXT(I213)," ",IF(I213&lt;=15.9,"МСМК",IF(I213&lt;=16.9,"МС",IF(I213&lt;=17.6,"КМС",IF(I213&lt;=18.5,"I",IF(I213&lt;=20.1,"II",IF(I213&lt;=21.9,"III",IF(I213&lt;=24,"I юн",IF(I213&lt;=26.2,"II юн",IF(I213&lt;=28.4,"III юн","б/р")))))))))))</f>
        <v>КМС</v>
      </c>
      <c r="K213" s="126">
        <v>46</v>
      </c>
    </row>
    <row r="214" spans="1:11">
      <c r="A214" s="1130">
        <v>3</v>
      </c>
      <c r="B214" s="1207" t="s">
        <v>27</v>
      </c>
      <c r="C214" s="1167" t="s">
        <v>1459</v>
      </c>
      <c r="D214" s="1166"/>
      <c r="E214" s="1194">
        <v>2003</v>
      </c>
      <c r="F214" s="1195" t="s">
        <v>1707</v>
      </c>
      <c r="G214" s="767"/>
      <c r="I214" s="1163">
        <v>17.149999999999999</v>
      </c>
      <c r="J214" s="747" t="str">
        <f t="shared" si="5"/>
        <v>КМС</v>
      </c>
      <c r="K214" s="126">
        <v>42</v>
      </c>
    </row>
    <row r="215" spans="1:11">
      <c r="A215" s="1130">
        <v>4</v>
      </c>
      <c r="B215" s="1197" t="s">
        <v>27</v>
      </c>
      <c r="C215" s="1317" t="s">
        <v>1460</v>
      </c>
      <c r="D215" s="1315"/>
      <c r="E215" s="1194">
        <v>2003</v>
      </c>
      <c r="F215" s="1195" t="s">
        <v>1707</v>
      </c>
      <c r="G215" s="767"/>
      <c r="I215" s="1160">
        <v>17.75</v>
      </c>
      <c r="J215" s="747" t="str">
        <f t="shared" si="5"/>
        <v>I</v>
      </c>
      <c r="K215" s="126">
        <v>39</v>
      </c>
    </row>
    <row r="216" spans="1:11">
      <c r="A216" s="1130">
        <v>5</v>
      </c>
      <c r="B216" s="1207" t="s">
        <v>27</v>
      </c>
      <c r="C216" s="1205" t="s">
        <v>1532</v>
      </c>
      <c r="D216" s="1204"/>
      <c r="E216" s="1206">
        <v>1999</v>
      </c>
      <c r="F216" s="1205" t="s">
        <v>1695</v>
      </c>
      <c r="G216" s="767"/>
      <c r="I216" s="1160">
        <v>18.07</v>
      </c>
      <c r="J216" s="747" t="str">
        <f t="shared" si="5"/>
        <v>I</v>
      </c>
      <c r="K216" s="126">
        <v>36</v>
      </c>
    </row>
    <row r="217" spans="1:11">
      <c r="A217" s="1130">
        <v>6</v>
      </c>
      <c r="B217" s="1207" t="s">
        <v>27</v>
      </c>
      <c r="C217" s="1167" t="s">
        <v>1458</v>
      </c>
      <c r="D217" s="1166"/>
      <c r="E217" s="1194">
        <v>2001</v>
      </c>
      <c r="F217" s="1195" t="s">
        <v>1707</v>
      </c>
      <c r="G217" s="767"/>
      <c r="I217" s="1163">
        <v>18.18</v>
      </c>
      <c r="J217" s="747" t="str">
        <f t="shared" si="5"/>
        <v>I</v>
      </c>
      <c r="K217" s="126">
        <v>33</v>
      </c>
    </row>
    <row r="218" spans="1:11">
      <c r="A218" s="1130">
        <v>7</v>
      </c>
      <c r="B218" s="1177" t="s">
        <v>15</v>
      </c>
      <c r="C218" s="1205" t="s">
        <v>1455</v>
      </c>
      <c r="D218" s="1204"/>
      <c r="E218" s="1206">
        <v>2002</v>
      </c>
      <c r="F218" s="1310" t="s">
        <v>1709</v>
      </c>
      <c r="G218" s="767"/>
      <c r="I218" s="1160">
        <v>18.52</v>
      </c>
      <c r="J218" s="747" t="str">
        <f t="shared" si="5"/>
        <v>II</v>
      </c>
      <c r="K218" s="126">
        <v>30</v>
      </c>
    </row>
    <row r="219" spans="1:11">
      <c r="A219" s="1130">
        <v>8</v>
      </c>
      <c r="B219" s="1207" t="s">
        <v>29</v>
      </c>
      <c r="C219" s="1205" t="s">
        <v>1389</v>
      </c>
      <c r="D219" s="1204"/>
      <c r="E219" s="1206">
        <v>2001</v>
      </c>
      <c r="F219" s="1205" t="s">
        <v>1695</v>
      </c>
      <c r="G219" s="767"/>
      <c r="I219" s="1160">
        <v>18.71</v>
      </c>
      <c r="J219" s="747" t="str">
        <f t="shared" si="5"/>
        <v>II</v>
      </c>
      <c r="K219" s="1334" t="s">
        <v>12</v>
      </c>
    </row>
    <row r="220" spans="1:11">
      <c r="A220" s="1130">
        <v>9</v>
      </c>
      <c r="B220" s="1207" t="s">
        <v>1</v>
      </c>
      <c r="C220" s="1205" t="s">
        <v>1375</v>
      </c>
      <c r="D220" s="1204"/>
      <c r="E220" s="1206">
        <v>2002</v>
      </c>
      <c r="F220" s="1312" t="s">
        <v>1699</v>
      </c>
      <c r="G220" s="767"/>
      <c r="I220" s="1160">
        <v>19.649999999999999</v>
      </c>
      <c r="J220" s="747" t="str">
        <f t="shared" si="5"/>
        <v>II</v>
      </c>
      <c r="K220" s="1334" t="s">
        <v>12</v>
      </c>
    </row>
    <row r="221" spans="1:11">
      <c r="A221" s="1130">
        <v>10</v>
      </c>
      <c r="B221" s="1177" t="s">
        <v>15</v>
      </c>
      <c r="C221" s="1205" t="s">
        <v>1456</v>
      </c>
      <c r="D221" s="1204"/>
      <c r="E221" s="1206">
        <v>2002</v>
      </c>
      <c r="F221" s="1312" t="s">
        <v>1709</v>
      </c>
      <c r="G221" s="767"/>
      <c r="I221" s="1160">
        <v>19.79</v>
      </c>
      <c r="J221" s="747" t="str">
        <f t="shared" si="5"/>
        <v>II</v>
      </c>
      <c r="K221" s="126">
        <v>27</v>
      </c>
    </row>
    <row r="222" spans="1:11">
      <c r="A222" s="1130">
        <v>11</v>
      </c>
      <c r="B222" s="1177" t="s">
        <v>15</v>
      </c>
      <c r="C222" s="1205" t="s">
        <v>1506</v>
      </c>
      <c r="D222" s="1204"/>
      <c r="E222" s="1206">
        <v>1996</v>
      </c>
      <c r="F222" s="1312" t="s">
        <v>1709</v>
      </c>
      <c r="G222" s="767"/>
      <c r="I222" s="1160">
        <v>19.84</v>
      </c>
      <c r="J222" s="747" t="str">
        <f t="shared" si="5"/>
        <v>II</v>
      </c>
      <c r="K222" s="126">
        <v>24</v>
      </c>
    </row>
    <row r="223" spans="1:11">
      <c r="A223" s="1130">
        <v>12</v>
      </c>
      <c r="B223" s="1207" t="s">
        <v>29</v>
      </c>
      <c r="C223" s="1205" t="s">
        <v>1377</v>
      </c>
      <c r="D223" s="1204"/>
      <c r="E223" s="1206">
        <v>2002</v>
      </c>
      <c r="F223" s="1205" t="s">
        <v>1695</v>
      </c>
      <c r="G223" s="767"/>
      <c r="I223" s="1160">
        <v>20.39</v>
      </c>
      <c r="J223" s="747" t="str">
        <f t="shared" si="5"/>
        <v>III</v>
      </c>
      <c r="K223" s="1334" t="s">
        <v>12</v>
      </c>
    </row>
    <row r="224" spans="1:11">
      <c r="A224" s="1130">
        <v>13</v>
      </c>
      <c r="B224" s="1207" t="s">
        <v>29</v>
      </c>
      <c r="C224" s="1205" t="s">
        <v>1390</v>
      </c>
      <c r="D224" s="1204"/>
      <c r="E224" s="1206">
        <v>2003</v>
      </c>
      <c r="F224" s="1312" t="s">
        <v>1699</v>
      </c>
      <c r="G224" s="767"/>
      <c r="I224" s="1162">
        <v>20.66</v>
      </c>
      <c r="J224" s="747" t="str">
        <f t="shared" si="5"/>
        <v>III</v>
      </c>
      <c r="K224" s="126">
        <v>22</v>
      </c>
    </row>
    <row r="225" spans="1:11">
      <c r="A225" s="1130"/>
      <c r="B225" s="535"/>
      <c r="C225" s="100"/>
      <c r="D225" s="1185"/>
      <c r="E225" s="534"/>
      <c r="F225" s="15"/>
      <c r="G225" s="1316"/>
      <c r="I225" s="1170"/>
      <c r="K225" s="1441"/>
    </row>
    <row r="226" spans="1:11" ht="18">
      <c r="A226" s="57"/>
      <c r="B226" s="535"/>
      <c r="C226" s="100"/>
      <c r="D226" s="1185"/>
      <c r="E226" s="1129"/>
      <c r="F226" s="15"/>
      <c r="G226" s="536"/>
      <c r="I226" s="1170"/>
      <c r="K226" s="1441"/>
    </row>
    <row r="227" spans="1:11">
      <c r="A227" s="57"/>
      <c r="B227" s="535"/>
      <c r="C227" s="524" t="s">
        <v>1815</v>
      </c>
      <c r="D227" s="542"/>
      <c r="E227" s="542"/>
      <c r="F227" s="542"/>
      <c r="G227" s="542"/>
      <c r="I227" s="1319"/>
      <c r="K227" s="1164"/>
    </row>
    <row r="228" spans="1:11">
      <c r="A228" s="1130"/>
      <c r="B228" s="1210"/>
      <c r="C228" s="1210"/>
      <c r="D228" s="1210"/>
      <c r="E228" s="1210"/>
      <c r="F228" s="1210"/>
      <c r="G228" s="1210"/>
      <c r="I228" s="1210"/>
      <c r="K228" s="1160"/>
    </row>
    <row r="229" spans="1:11">
      <c r="A229" s="1130">
        <v>1</v>
      </c>
      <c r="B229" s="1207" t="s">
        <v>25</v>
      </c>
      <c r="C229" s="1205" t="s">
        <v>654</v>
      </c>
      <c r="D229" s="1204"/>
      <c r="E229" s="1206">
        <v>1999</v>
      </c>
      <c r="F229" s="1205" t="s">
        <v>1695</v>
      </c>
      <c r="G229" s="766"/>
      <c r="I229" s="1160">
        <v>22.15</v>
      </c>
      <c r="J229" s="747" t="s">
        <v>29</v>
      </c>
      <c r="K229" s="126">
        <v>50</v>
      </c>
    </row>
    <row r="230" spans="1:11">
      <c r="A230" s="1130">
        <v>2</v>
      </c>
      <c r="B230" s="1207" t="s">
        <v>27</v>
      </c>
      <c r="C230" s="1205" t="s">
        <v>1437</v>
      </c>
      <c r="D230" s="1204"/>
      <c r="E230" s="1206">
        <v>2002</v>
      </c>
      <c r="F230" s="766" t="s">
        <v>1727</v>
      </c>
      <c r="G230" s="766"/>
      <c r="I230" s="1160">
        <v>23.34</v>
      </c>
      <c r="J230" s="747" t="s">
        <v>29</v>
      </c>
      <c r="K230" s="126">
        <v>46</v>
      </c>
    </row>
    <row r="231" spans="1:11">
      <c r="A231" s="1130">
        <v>3</v>
      </c>
      <c r="B231" s="1207" t="s">
        <v>27</v>
      </c>
      <c r="C231" s="1205" t="s">
        <v>1413</v>
      </c>
      <c r="D231" s="1204"/>
      <c r="E231" s="1206">
        <v>1998</v>
      </c>
      <c r="F231" s="1312" t="s">
        <v>1691</v>
      </c>
      <c r="G231" s="766"/>
      <c r="I231" s="1160">
        <v>23.39</v>
      </c>
      <c r="J231" s="747" t="s">
        <v>29</v>
      </c>
      <c r="K231" s="126" t="s">
        <v>12</v>
      </c>
    </row>
    <row r="232" spans="1:11">
      <c r="A232" s="1130">
        <v>4</v>
      </c>
      <c r="B232" s="1207" t="s">
        <v>27</v>
      </c>
      <c r="C232" s="1167" t="s">
        <v>1734</v>
      </c>
      <c r="D232" s="1155"/>
      <c r="E232" s="1194">
        <v>2001</v>
      </c>
      <c r="F232" s="1195" t="s">
        <v>1707</v>
      </c>
      <c r="G232" s="766"/>
      <c r="I232" s="1163">
        <v>23.61</v>
      </c>
      <c r="J232" s="747" t="s">
        <v>29</v>
      </c>
      <c r="K232" s="126">
        <v>42</v>
      </c>
    </row>
    <row r="233" spans="1:11">
      <c r="A233" s="1130">
        <v>5</v>
      </c>
      <c r="B233" s="1207" t="s">
        <v>27</v>
      </c>
      <c r="C233" s="1205" t="s">
        <v>1484</v>
      </c>
      <c r="D233" s="1204"/>
      <c r="E233" s="1206">
        <v>2001</v>
      </c>
      <c r="F233" s="1310" t="s">
        <v>1725</v>
      </c>
      <c r="G233" s="766"/>
      <c r="I233" s="1160">
        <v>23.85</v>
      </c>
      <c r="J233" s="747" t="str">
        <f t="shared" ref="J233:J251" si="6">IF(ISBLANK(I233)," ",IF(ISTEXT(I233)," ",IF(I233&lt;=22.3,"МСМК",IF(I233&lt;=23.7,"МС",IF(I233&lt;=24.6,"КМС",IF(I233&lt;=26.4,"I",IF(I233&lt;=28,"II",IF(I233&lt;=30.5,"III",IF(I233&lt;=33.5,"I юн",IF(I233&lt;=36.7,"II юн",IF(I233&lt;=39.8,"III юн","б/р")))))))))))</f>
        <v>КМС</v>
      </c>
      <c r="K233" s="126">
        <v>39</v>
      </c>
    </row>
    <row r="234" spans="1:11">
      <c r="A234" s="1130">
        <v>6</v>
      </c>
      <c r="B234" s="1207" t="s">
        <v>25</v>
      </c>
      <c r="C234" s="1205" t="s">
        <v>580</v>
      </c>
      <c r="D234" s="1204"/>
      <c r="E234" s="1206">
        <v>1998</v>
      </c>
      <c r="F234" s="1205" t="s">
        <v>1695</v>
      </c>
      <c r="G234" s="766"/>
      <c r="I234" s="1160">
        <v>23.91</v>
      </c>
      <c r="J234" s="747" t="str">
        <f t="shared" si="6"/>
        <v>КМС</v>
      </c>
      <c r="K234" s="126">
        <v>36</v>
      </c>
    </row>
    <row r="235" spans="1:11">
      <c r="A235" s="1130">
        <v>7</v>
      </c>
      <c r="B235" s="1177" t="s">
        <v>15</v>
      </c>
      <c r="C235" s="1205" t="s">
        <v>1476</v>
      </c>
      <c r="D235" s="1204"/>
      <c r="E235" s="1206">
        <v>2001</v>
      </c>
      <c r="F235" s="1312" t="s">
        <v>1709</v>
      </c>
      <c r="G235" s="766"/>
      <c r="I235" s="1160">
        <v>24.1</v>
      </c>
      <c r="J235" s="747" t="str">
        <f t="shared" si="6"/>
        <v>КМС</v>
      </c>
      <c r="K235" s="126">
        <v>33</v>
      </c>
    </row>
    <row r="236" spans="1:11">
      <c r="A236" s="1130">
        <v>8</v>
      </c>
      <c r="B236" s="1207" t="s">
        <v>27</v>
      </c>
      <c r="C236" s="1205" t="s">
        <v>1487</v>
      </c>
      <c r="D236" s="1204"/>
      <c r="E236" s="1206">
        <v>2003</v>
      </c>
      <c r="F236" s="766" t="s">
        <v>1727</v>
      </c>
      <c r="G236" s="766"/>
      <c r="I236" s="1160">
        <v>24.16</v>
      </c>
      <c r="J236" s="747" t="str">
        <f t="shared" si="6"/>
        <v>КМС</v>
      </c>
      <c r="K236" s="1239" t="s">
        <v>12</v>
      </c>
    </row>
    <row r="237" spans="1:11">
      <c r="A237" s="1130">
        <v>9</v>
      </c>
      <c r="B237" s="1207" t="s">
        <v>27</v>
      </c>
      <c r="C237" s="1205" t="s">
        <v>1426</v>
      </c>
      <c r="D237" s="1204"/>
      <c r="E237" s="1206">
        <v>2000</v>
      </c>
      <c r="F237" s="1205" t="s">
        <v>1695</v>
      </c>
      <c r="G237" s="766"/>
      <c r="I237" s="1160">
        <v>24.16</v>
      </c>
      <c r="J237" s="747" t="str">
        <f t="shared" si="6"/>
        <v>КМС</v>
      </c>
      <c r="K237" s="1239" t="s">
        <v>12</v>
      </c>
    </row>
    <row r="238" spans="1:11">
      <c r="A238" s="1130">
        <v>10</v>
      </c>
      <c r="B238" s="1207" t="s">
        <v>27</v>
      </c>
      <c r="C238" s="1167" t="s">
        <v>1481</v>
      </c>
      <c r="D238" s="1155"/>
      <c r="E238" s="1194">
        <v>2003</v>
      </c>
      <c r="F238" s="1195" t="s">
        <v>1707</v>
      </c>
      <c r="G238" s="766"/>
      <c r="I238" s="1163">
        <v>24.39</v>
      </c>
      <c r="J238" s="747" t="str">
        <f t="shared" si="6"/>
        <v>КМС</v>
      </c>
      <c r="K238" s="538" t="s">
        <v>12</v>
      </c>
    </row>
    <row r="239" spans="1:11">
      <c r="A239" s="1130">
        <v>11</v>
      </c>
      <c r="B239" s="1184" t="s">
        <v>27</v>
      </c>
      <c r="C239" s="1181" t="s">
        <v>1479</v>
      </c>
      <c r="D239" s="1181"/>
      <c r="E239" s="1182">
        <v>2000</v>
      </c>
      <c r="F239" s="1183" t="s">
        <v>1713</v>
      </c>
      <c r="G239" s="766"/>
      <c r="I239" s="1160">
        <v>24.45</v>
      </c>
      <c r="J239" s="747" t="str">
        <f t="shared" si="6"/>
        <v>КМС</v>
      </c>
      <c r="K239" s="126">
        <v>30</v>
      </c>
    </row>
    <row r="240" spans="1:11">
      <c r="A240" s="1130">
        <v>12</v>
      </c>
      <c r="B240" s="1184" t="s">
        <v>27</v>
      </c>
      <c r="C240" s="1181" t="s">
        <v>1478</v>
      </c>
      <c r="D240" s="1181"/>
      <c r="E240" s="1182">
        <v>2001</v>
      </c>
      <c r="F240" s="1183" t="s">
        <v>1713</v>
      </c>
      <c r="G240" s="766"/>
      <c r="I240" s="1160">
        <v>24.47</v>
      </c>
      <c r="J240" s="747" t="str">
        <f t="shared" si="6"/>
        <v>КМС</v>
      </c>
      <c r="K240" s="1239" t="s">
        <v>12</v>
      </c>
    </row>
    <row r="241" spans="1:11">
      <c r="A241" s="1130">
        <v>13</v>
      </c>
      <c r="B241" s="1207" t="s">
        <v>27</v>
      </c>
      <c r="C241" s="1205" t="s">
        <v>1403</v>
      </c>
      <c r="D241" s="1204"/>
      <c r="E241" s="1206">
        <v>1998</v>
      </c>
      <c r="F241" s="1205" t="s">
        <v>1695</v>
      </c>
      <c r="G241" s="766"/>
      <c r="I241" s="1160">
        <v>24.6</v>
      </c>
      <c r="J241" s="747" t="str">
        <f t="shared" si="6"/>
        <v>КМС</v>
      </c>
      <c r="K241" s="126">
        <v>27</v>
      </c>
    </row>
    <row r="242" spans="1:11">
      <c r="A242" s="1130">
        <v>14</v>
      </c>
      <c r="B242" s="1207" t="s">
        <v>29</v>
      </c>
      <c r="C242" s="1205" t="s">
        <v>1414</v>
      </c>
      <c r="D242" s="1204"/>
      <c r="E242" s="1206">
        <v>2001</v>
      </c>
      <c r="F242" s="1312" t="s">
        <v>1699</v>
      </c>
      <c r="G242" s="766"/>
      <c r="I242" s="1160">
        <v>24.63</v>
      </c>
      <c r="J242" s="747" t="str">
        <f t="shared" si="6"/>
        <v>I</v>
      </c>
      <c r="K242" s="126">
        <v>24</v>
      </c>
    </row>
    <row r="243" spans="1:11">
      <c r="A243" s="1130">
        <v>15</v>
      </c>
      <c r="B243" s="1207" t="s">
        <v>27</v>
      </c>
      <c r="C243" s="1205" t="s">
        <v>1735</v>
      </c>
      <c r="D243" s="1204"/>
      <c r="E243" s="1206">
        <v>2001</v>
      </c>
      <c r="F243" s="1312" t="s">
        <v>1711</v>
      </c>
      <c r="G243" s="766"/>
      <c r="I243" s="1160">
        <v>24.92</v>
      </c>
      <c r="J243" s="747" t="str">
        <f t="shared" si="6"/>
        <v>I</v>
      </c>
      <c r="K243" s="126">
        <v>22</v>
      </c>
    </row>
    <row r="244" spans="1:11">
      <c r="A244" s="1130">
        <v>16</v>
      </c>
      <c r="B244" s="1207" t="s">
        <v>1</v>
      </c>
      <c r="C244" s="1205" t="s">
        <v>1364</v>
      </c>
      <c r="D244" s="1204"/>
      <c r="E244" s="1206">
        <v>2000</v>
      </c>
      <c r="F244" s="1312" t="s">
        <v>1699</v>
      </c>
      <c r="G244" s="766"/>
      <c r="I244" s="1160">
        <v>25.59</v>
      </c>
      <c r="J244" s="747" t="str">
        <f t="shared" si="6"/>
        <v>I</v>
      </c>
      <c r="K244" s="1239" t="s">
        <v>12</v>
      </c>
    </row>
    <row r="245" spans="1:11">
      <c r="A245" s="1130">
        <v>17</v>
      </c>
      <c r="B245" s="1207" t="s">
        <v>29</v>
      </c>
      <c r="C245" s="1205" t="s">
        <v>1539</v>
      </c>
      <c r="D245" s="1204"/>
      <c r="E245" s="1206">
        <v>2003</v>
      </c>
      <c r="F245" s="1312" t="s">
        <v>1699</v>
      </c>
      <c r="G245" s="766"/>
      <c r="I245" s="1160">
        <v>26.01</v>
      </c>
      <c r="J245" s="747" t="str">
        <f t="shared" si="6"/>
        <v>I</v>
      </c>
      <c r="K245" s="126">
        <v>20</v>
      </c>
    </row>
    <row r="246" spans="1:11">
      <c r="A246" s="1130">
        <v>18</v>
      </c>
      <c r="B246" s="1207" t="s">
        <v>1</v>
      </c>
      <c r="C246" s="1167" t="s">
        <v>1480</v>
      </c>
      <c r="D246" s="1155"/>
      <c r="E246" s="1194">
        <v>2002</v>
      </c>
      <c r="F246" s="1195" t="s">
        <v>1707</v>
      </c>
      <c r="G246" s="766"/>
      <c r="I246" s="1163">
        <v>26.09</v>
      </c>
      <c r="J246" s="747" t="str">
        <f t="shared" si="6"/>
        <v>I</v>
      </c>
      <c r="K246" s="126">
        <v>18</v>
      </c>
    </row>
    <row r="247" spans="1:11">
      <c r="A247" s="1130">
        <v>19</v>
      </c>
      <c r="B247" s="1207" t="s">
        <v>1</v>
      </c>
      <c r="C247" s="1167" t="s">
        <v>1482</v>
      </c>
      <c r="D247" s="1155"/>
      <c r="E247" s="1194">
        <v>2003</v>
      </c>
      <c r="F247" s="1195" t="s">
        <v>1707</v>
      </c>
      <c r="G247" s="766"/>
      <c r="I247" s="1163">
        <v>26.21</v>
      </c>
      <c r="J247" s="747" t="str">
        <f t="shared" si="6"/>
        <v>I</v>
      </c>
      <c r="K247" s="126">
        <v>16</v>
      </c>
    </row>
    <row r="248" spans="1:11">
      <c r="A248" s="1130">
        <v>20</v>
      </c>
      <c r="B248" s="1207" t="s">
        <v>1</v>
      </c>
      <c r="C248" s="1205" t="s">
        <v>1432</v>
      </c>
      <c r="D248" s="1204"/>
      <c r="E248" s="1206">
        <v>2003</v>
      </c>
      <c r="F248" s="1205" t="s">
        <v>1695</v>
      </c>
      <c r="G248" s="766"/>
      <c r="I248" s="1160">
        <v>26.3</v>
      </c>
      <c r="J248" s="747" t="str">
        <f t="shared" si="6"/>
        <v>I</v>
      </c>
      <c r="K248" s="126">
        <v>14</v>
      </c>
    </row>
    <row r="249" spans="1:11">
      <c r="A249" s="1130">
        <v>21</v>
      </c>
      <c r="B249" s="1207" t="s">
        <v>1</v>
      </c>
      <c r="C249" s="1205" t="s">
        <v>1540</v>
      </c>
      <c r="D249" s="1204"/>
      <c r="E249" s="1206">
        <v>2002</v>
      </c>
      <c r="F249" s="1312" t="s">
        <v>1699</v>
      </c>
      <c r="G249" s="766"/>
      <c r="I249" s="1160">
        <v>26.77</v>
      </c>
      <c r="J249" s="747" t="str">
        <f t="shared" si="6"/>
        <v>II</v>
      </c>
      <c r="K249" s="126">
        <v>12</v>
      </c>
    </row>
    <row r="250" spans="1:11">
      <c r="A250" s="1130">
        <v>22</v>
      </c>
      <c r="B250" s="1207" t="s">
        <v>15</v>
      </c>
      <c r="C250" s="1205" t="s">
        <v>1545</v>
      </c>
      <c r="D250" s="1204"/>
      <c r="E250" s="1206">
        <v>2001</v>
      </c>
      <c r="F250" s="1310" t="s">
        <v>1722</v>
      </c>
      <c r="G250" s="766"/>
      <c r="I250" s="1160">
        <v>27.86</v>
      </c>
      <c r="J250" s="747" t="str">
        <f t="shared" si="6"/>
        <v>II</v>
      </c>
      <c r="K250" s="126">
        <v>10</v>
      </c>
    </row>
    <row r="251" spans="1:11">
      <c r="A251" s="1130">
        <v>23</v>
      </c>
      <c r="B251" s="1207" t="s">
        <v>15</v>
      </c>
      <c r="C251" s="1205" t="s">
        <v>1546</v>
      </c>
      <c r="D251" s="1204"/>
      <c r="E251" s="1206">
        <v>2001</v>
      </c>
      <c r="F251" s="1312" t="s">
        <v>1722</v>
      </c>
      <c r="G251" s="766"/>
      <c r="I251" s="1160">
        <v>29.01</v>
      </c>
      <c r="J251" s="747" t="str">
        <f t="shared" si="6"/>
        <v>III</v>
      </c>
      <c r="K251" s="126">
        <v>8</v>
      </c>
    </row>
    <row r="252" spans="1:11">
      <c r="A252" s="1130"/>
      <c r="B252" s="1207"/>
      <c r="C252" s="1205"/>
      <c r="D252" s="1204"/>
      <c r="E252" s="1206"/>
      <c r="F252" s="1310"/>
      <c r="G252" s="766"/>
      <c r="I252" s="1160"/>
      <c r="K252" s="1239"/>
    </row>
    <row r="253" spans="1:11">
      <c r="A253" s="1130"/>
      <c r="B253" s="49"/>
      <c r="C253" s="1131"/>
      <c r="D253" s="1131"/>
      <c r="E253" s="1136"/>
      <c r="F253" s="1131"/>
      <c r="G253" s="1131"/>
      <c r="I253" s="1133"/>
      <c r="K253" s="1441"/>
    </row>
    <row r="254" spans="1:11">
      <c r="A254" s="57"/>
      <c r="B254" s="535"/>
      <c r="C254" s="524" t="s">
        <v>1816</v>
      </c>
      <c r="D254" s="542"/>
      <c r="E254" s="542"/>
      <c r="F254" s="542"/>
      <c r="G254" s="542"/>
      <c r="I254" s="1164"/>
      <c r="K254" s="1210"/>
    </row>
    <row r="255" spans="1:11">
      <c r="A255" s="57"/>
      <c r="B255" s="535"/>
      <c r="C255" s="100"/>
      <c r="D255" s="1185"/>
      <c r="E255" s="534"/>
      <c r="F255" s="15"/>
      <c r="G255" s="536"/>
      <c r="I255" s="1164"/>
      <c r="K255" s="1240"/>
    </row>
    <row r="256" spans="1:11">
      <c r="A256" s="1130">
        <v>1</v>
      </c>
      <c r="B256" s="1207" t="s">
        <v>27</v>
      </c>
      <c r="C256" s="1167" t="s">
        <v>1508</v>
      </c>
      <c r="D256" s="1155"/>
      <c r="E256" s="1194">
        <v>2003</v>
      </c>
      <c r="F256" s="1195" t="s">
        <v>1707</v>
      </c>
      <c r="G256" s="767"/>
      <c r="I256" s="1163">
        <v>20.46</v>
      </c>
      <c r="J256" s="747" t="s">
        <v>29</v>
      </c>
      <c r="K256" s="126">
        <v>50</v>
      </c>
    </row>
    <row r="257" spans="1:11">
      <c r="A257" s="1130">
        <v>2</v>
      </c>
      <c r="B257" s="1207" t="s">
        <v>29</v>
      </c>
      <c r="C257" s="1205" t="s">
        <v>1496</v>
      </c>
      <c r="D257" s="1204"/>
      <c r="E257" s="1206">
        <v>2001</v>
      </c>
      <c r="F257" s="1205" t="s">
        <v>1695</v>
      </c>
      <c r="G257" s="767"/>
      <c r="I257" s="1160">
        <v>20.67</v>
      </c>
      <c r="J257" s="747" t="str">
        <f t="shared" ref="J257:J274" si="7">IF(ISBLANK(I257)," ",IF(ISTEXT(I257)," ",IF(I257&lt;=19.4,"МСМК",IF(I257&lt;=20.5,"МС",IF(I257&lt;=21.3,"КМС",IF(I257&lt;=23,"I",IF(I257&lt;=24.8,"II",IF(I257&lt;=26.5,"III",IF(I257&lt;=29.8,"I юн",IF(I257&lt;=32.4,"II юн",IF(I257&lt;=35.5,"III юн","б/р")))))))))))</f>
        <v>КМС</v>
      </c>
      <c r="K257" s="126">
        <v>46</v>
      </c>
    </row>
    <row r="258" spans="1:11">
      <c r="A258" s="1130">
        <v>3</v>
      </c>
      <c r="B258" s="1202" t="s">
        <v>29</v>
      </c>
      <c r="C258" s="1205" t="s">
        <v>1503</v>
      </c>
      <c r="D258" s="1204"/>
      <c r="E258" s="1206">
        <v>2002</v>
      </c>
      <c r="F258" s="17" t="s">
        <v>1723</v>
      </c>
      <c r="G258" s="767"/>
      <c r="I258" s="1160">
        <v>20.8</v>
      </c>
      <c r="J258" s="747" t="str">
        <f t="shared" si="7"/>
        <v>КМС</v>
      </c>
      <c r="K258" s="126">
        <v>42</v>
      </c>
    </row>
    <row r="259" spans="1:11">
      <c r="A259" s="1130">
        <v>4</v>
      </c>
      <c r="B259" s="1207" t="s">
        <v>27</v>
      </c>
      <c r="C259" s="1205" t="s">
        <v>1532</v>
      </c>
      <c r="D259" s="1204"/>
      <c r="E259" s="1206">
        <v>1999</v>
      </c>
      <c r="F259" s="1205" t="s">
        <v>1695</v>
      </c>
      <c r="G259" s="767"/>
      <c r="I259" s="1160">
        <v>21.25</v>
      </c>
      <c r="J259" s="747" t="str">
        <f t="shared" si="7"/>
        <v>КМС</v>
      </c>
      <c r="K259" s="126">
        <v>39</v>
      </c>
    </row>
    <row r="260" spans="1:11">
      <c r="A260" s="1130">
        <v>5</v>
      </c>
      <c r="B260" s="1207" t="s">
        <v>27</v>
      </c>
      <c r="C260" s="1205" t="s">
        <v>1501</v>
      </c>
      <c r="D260" s="1204"/>
      <c r="E260" s="1206">
        <v>1998</v>
      </c>
      <c r="F260" s="1205" t="s">
        <v>1695</v>
      </c>
      <c r="G260" s="767"/>
      <c r="I260" s="1160">
        <v>21.37</v>
      </c>
      <c r="J260" s="747" t="str">
        <f t="shared" si="7"/>
        <v>I</v>
      </c>
      <c r="K260" s="126" t="s">
        <v>12</v>
      </c>
    </row>
    <row r="261" spans="1:11">
      <c r="A261" s="1130">
        <v>6</v>
      </c>
      <c r="B261" s="1207" t="s">
        <v>29</v>
      </c>
      <c r="C261" s="1205" t="s">
        <v>1389</v>
      </c>
      <c r="D261" s="1204"/>
      <c r="E261" s="1206">
        <v>2001</v>
      </c>
      <c r="F261" s="1205" t="s">
        <v>1695</v>
      </c>
      <c r="G261" s="767"/>
      <c r="I261" s="1160">
        <v>21.59</v>
      </c>
      <c r="J261" s="747" t="str">
        <f t="shared" si="7"/>
        <v>I</v>
      </c>
      <c r="K261" s="126" t="s">
        <v>12</v>
      </c>
    </row>
    <row r="262" spans="1:11">
      <c r="A262" s="1130">
        <v>7</v>
      </c>
      <c r="B262" s="1207" t="s">
        <v>27</v>
      </c>
      <c r="C262" s="1205" t="s">
        <v>1417</v>
      </c>
      <c r="D262" s="1204"/>
      <c r="E262" s="1206">
        <v>2003</v>
      </c>
      <c r="F262" s="1312" t="s">
        <v>1699</v>
      </c>
      <c r="G262" s="767"/>
      <c r="I262" s="1160">
        <v>21.81</v>
      </c>
      <c r="J262" s="747" t="str">
        <f t="shared" si="7"/>
        <v>I</v>
      </c>
      <c r="K262" s="126">
        <v>36</v>
      </c>
    </row>
    <row r="263" spans="1:11">
      <c r="A263" s="1130">
        <v>8</v>
      </c>
      <c r="B263" s="1207" t="s">
        <v>1</v>
      </c>
      <c r="C263" s="1205" t="s">
        <v>1497</v>
      </c>
      <c r="D263" s="1204"/>
      <c r="E263" s="1206">
        <v>2002</v>
      </c>
      <c r="F263" s="1205" t="s">
        <v>1695</v>
      </c>
      <c r="G263" s="767"/>
      <c r="I263" s="1160">
        <v>22.13</v>
      </c>
      <c r="J263" s="747" t="str">
        <f t="shared" si="7"/>
        <v>I</v>
      </c>
      <c r="K263" s="126" t="s">
        <v>12</v>
      </c>
    </row>
    <row r="264" spans="1:11">
      <c r="A264" s="1130">
        <v>9</v>
      </c>
      <c r="B264" s="1207" t="s">
        <v>27</v>
      </c>
      <c r="C264" s="1205" t="s">
        <v>1388</v>
      </c>
      <c r="D264" s="1204"/>
      <c r="E264" s="1206">
        <v>2002</v>
      </c>
      <c r="F264" s="1205" t="s">
        <v>1695</v>
      </c>
      <c r="G264" s="767"/>
      <c r="I264" s="1160">
        <v>22.13</v>
      </c>
      <c r="J264" s="747" t="str">
        <f t="shared" si="7"/>
        <v>I</v>
      </c>
      <c r="K264" s="126" t="s">
        <v>12</v>
      </c>
    </row>
    <row r="265" spans="1:11">
      <c r="A265" s="1130">
        <v>10</v>
      </c>
      <c r="B265" s="1207" t="s">
        <v>13</v>
      </c>
      <c r="C265" s="1205" t="s">
        <v>1420</v>
      </c>
      <c r="D265" s="1204"/>
      <c r="E265" s="1206">
        <v>2002</v>
      </c>
      <c r="F265" s="1312" t="s">
        <v>1699</v>
      </c>
      <c r="G265" s="767"/>
      <c r="I265" s="1160">
        <v>22.39</v>
      </c>
      <c r="J265" s="747" t="str">
        <f t="shared" si="7"/>
        <v>I</v>
      </c>
      <c r="K265" s="126" t="s">
        <v>12</v>
      </c>
    </row>
    <row r="266" spans="1:11">
      <c r="A266" s="1130">
        <v>11</v>
      </c>
      <c r="B266" s="1207" t="s">
        <v>29</v>
      </c>
      <c r="C266" s="1205" t="s">
        <v>1390</v>
      </c>
      <c r="D266" s="1204"/>
      <c r="E266" s="1206">
        <v>2003</v>
      </c>
      <c r="F266" s="1312" t="s">
        <v>1699</v>
      </c>
      <c r="G266" s="767"/>
      <c r="I266" s="1162">
        <v>22.42</v>
      </c>
      <c r="J266" s="747" t="str">
        <f t="shared" si="7"/>
        <v>I</v>
      </c>
      <c r="K266" s="126" t="s">
        <v>12</v>
      </c>
    </row>
    <row r="267" spans="1:11">
      <c r="A267" s="1130">
        <v>12</v>
      </c>
      <c r="B267" s="1207" t="s">
        <v>29</v>
      </c>
      <c r="C267" s="1205" t="s">
        <v>1391</v>
      </c>
      <c r="D267" s="1204"/>
      <c r="E267" s="1206">
        <v>2003</v>
      </c>
      <c r="F267" s="1312" t="s">
        <v>1699</v>
      </c>
      <c r="G267" s="767"/>
      <c r="I267" s="1160">
        <v>22.43</v>
      </c>
      <c r="J267" s="747" t="str">
        <f t="shared" si="7"/>
        <v>I</v>
      </c>
      <c r="K267" s="126">
        <v>33</v>
      </c>
    </row>
    <row r="268" spans="1:11">
      <c r="A268" s="1130">
        <v>13</v>
      </c>
      <c r="B268" s="1177" t="s">
        <v>15</v>
      </c>
      <c r="C268" s="1205" t="s">
        <v>1505</v>
      </c>
      <c r="D268" s="1204"/>
      <c r="E268" s="1206">
        <v>2000</v>
      </c>
      <c r="F268" s="1312" t="s">
        <v>1709</v>
      </c>
      <c r="G268" s="767"/>
      <c r="I268" s="1160">
        <v>22.69</v>
      </c>
      <c r="J268" s="747" t="str">
        <f t="shared" si="7"/>
        <v>I</v>
      </c>
      <c r="K268" s="126">
        <v>30</v>
      </c>
    </row>
    <row r="269" spans="1:11">
      <c r="A269" s="1130">
        <v>14</v>
      </c>
      <c r="B269" s="1207" t="s">
        <v>29</v>
      </c>
      <c r="C269" s="1205" t="s">
        <v>1504</v>
      </c>
      <c r="D269" s="1204"/>
      <c r="E269" s="1206">
        <v>1997</v>
      </c>
      <c r="F269" s="17" t="s">
        <v>1723</v>
      </c>
      <c r="G269" s="767"/>
      <c r="I269" s="1160">
        <v>22.73</v>
      </c>
      <c r="J269" s="747" t="str">
        <f t="shared" si="7"/>
        <v>I</v>
      </c>
      <c r="K269" s="126">
        <v>27</v>
      </c>
    </row>
    <row r="270" spans="1:11">
      <c r="A270" s="1130">
        <v>15</v>
      </c>
      <c r="B270" s="1207" t="s">
        <v>1</v>
      </c>
      <c r="C270" s="1205" t="s">
        <v>1498</v>
      </c>
      <c r="D270" s="1204"/>
      <c r="E270" s="1206">
        <v>2003</v>
      </c>
      <c r="F270" s="1205" t="s">
        <v>1695</v>
      </c>
      <c r="G270" s="767"/>
      <c r="I270" s="1160">
        <v>22.77</v>
      </c>
      <c r="J270" s="747" t="str">
        <f t="shared" si="7"/>
        <v>I</v>
      </c>
      <c r="K270" s="126" t="s">
        <v>12</v>
      </c>
    </row>
    <row r="271" spans="1:11">
      <c r="A271" s="1130">
        <v>16</v>
      </c>
      <c r="B271" s="1207" t="s">
        <v>29</v>
      </c>
      <c r="C271" s="1205" t="s">
        <v>1543</v>
      </c>
      <c r="D271" s="1204"/>
      <c r="E271" s="1206">
        <v>1999</v>
      </c>
      <c r="F271" s="1312" t="s">
        <v>1722</v>
      </c>
      <c r="G271" s="1192"/>
      <c r="I271" s="1160">
        <v>22.89</v>
      </c>
      <c r="J271" s="747" t="str">
        <f t="shared" si="7"/>
        <v>I</v>
      </c>
      <c r="K271" s="126">
        <v>24</v>
      </c>
    </row>
    <row r="272" spans="1:11">
      <c r="A272" s="1130">
        <v>17</v>
      </c>
      <c r="B272" s="1207" t="s">
        <v>1</v>
      </c>
      <c r="C272" s="1205" t="s">
        <v>1500</v>
      </c>
      <c r="D272" s="1204"/>
      <c r="E272" s="1206">
        <v>2003</v>
      </c>
      <c r="F272" s="1205" t="s">
        <v>1695</v>
      </c>
      <c r="G272" s="767"/>
      <c r="I272" s="1160">
        <v>22.95</v>
      </c>
      <c r="J272" s="747" t="str">
        <f t="shared" si="7"/>
        <v>I</v>
      </c>
      <c r="K272" s="126" t="s">
        <v>12</v>
      </c>
    </row>
    <row r="273" spans="1:11">
      <c r="A273" s="1130">
        <v>18</v>
      </c>
      <c r="B273" s="1207" t="s">
        <v>13</v>
      </c>
      <c r="C273" s="1205" t="s">
        <v>1499</v>
      </c>
      <c r="D273" s="1204"/>
      <c r="E273" s="1206">
        <v>2003</v>
      </c>
      <c r="F273" s="1205" t="s">
        <v>1695</v>
      </c>
      <c r="G273" s="767"/>
      <c r="I273" s="1160">
        <v>24.17</v>
      </c>
      <c r="J273" s="747" t="str">
        <f t="shared" si="7"/>
        <v>II</v>
      </c>
      <c r="K273" s="126" t="s">
        <v>12</v>
      </c>
    </row>
    <row r="274" spans="1:11">
      <c r="A274" s="1130">
        <v>19</v>
      </c>
      <c r="B274" s="1207" t="s">
        <v>29</v>
      </c>
      <c r="C274" s="1205" t="s">
        <v>1377</v>
      </c>
      <c r="D274" s="1204"/>
      <c r="E274" s="1206">
        <v>2002</v>
      </c>
      <c r="F274" s="1205" t="s">
        <v>1695</v>
      </c>
      <c r="G274" s="767"/>
      <c r="I274" s="1160">
        <v>24.24</v>
      </c>
      <c r="J274" s="747" t="str">
        <f t="shared" si="7"/>
        <v>II</v>
      </c>
      <c r="K274" s="126" t="s">
        <v>12</v>
      </c>
    </row>
    <row r="275" spans="1:11">
      <c r="A275" s="1130"/>
      <c r="B275" s="1207" t="s">
        <v>13</v>
      </c>
      <c r="C275" s="1167" t="s">
        <v>1533</v>
      </c>
      <c r="D275" s="1155"/>
      <c r="E275" s="1194">
        <v>2001</v>
      </c>
      <c r="F275" s="1195" t="s">
        <v>1707</v>
      </c>
      <c r="G275" s="767"/>
      <c r="I275" s="1160" t="s">
        <v>1621</v>
      </c>
      <c r="K275" s="126" t="s">
        <v>12</v>
      </c>
    </row>
    <row r="276" spans="1:11">
      <c r="A276" s="1210"/>
      <c r="B276" s="1168" t="s">
        <v>29</v>
      </c>
      <c r="C276" s="1205" t="s">
        <v>1507</v>
      </c>
      <c r="D276" s="1204"/>
      <c r="E276" s="1206">
        <v>2003</v>
      </c>
      <c r="F276" s="1312" t="s">
        <v>1699</v>
      </c>
      <c r="G276" s="767"/>
      <c r="I276" s="1160" t="s">
        <v>1622</v>
      </c>
      <c r="K276" s="126">
        <v>0</v>
      </c>
    </row>
    <row r="277" spans="1:11">
      <c r="A277" s="1130"/>
      <c r="B277" s="1168"/>
      <c r="C277" s="1205"/>
      <c r="D277" s="1204"/>
      <c r="E277" s="1206"/>
      <c r="F277" s="1205"/>
      <c r="G277" s="767"/>
      <c r="I277" s="1160"/>
      <c r="K277" s="1210"/>
    </row>
    <row r="278" spans="1:11">
      <c r="A278" s="1130"/>
      <c r="B278" s="1210"/>
      <c r="C278" s="524" t="s">
        <v>1817</v>
      </c>
      <c r="D278" s="525"/>
      <c r="E278" s="526"/>
      <c r="F278" s="524"/>
      <c r="G278" s="524"/>
      <c r="I278" s="1196"/>
      <c r="K278" s="1210"/>
    </row>
    <row r="279" spans="1:11">
      <c r="A279" s="1130"/>
      <c r="B279" s="1207"/>
      <c r="C279" s="1205"/>
      <c r="D279" s="1204"/>
      <c r="E279" s="1206"/>
      <c r="F279" s="1310"/>
      <c r="G279" s="1310"/>
      <c r="I279" s="1160"/>
      <c r="K279" s="1210"/>
    </row>
    <row r="280" spans="1:11">
      <c r="A280" s="1130">
        <v>1</v>
      </c>
      <c r="B280" s="1207" t="s">
        <v>23</v>
      </c>
      <c r="C280" s="1167" t="s">
        <v>1736</v>
      </c>
      <c r="D280" s="1155"/>
      <c r="E280" s="1194">
        <v>1999</v>
      </c>
      <c r="F280" s="1195" t="s">
        <v>1707</v>
      </c>
      <c r="G280" s="766"/>
      <c r="I280" s="1163">
        <v>37.97</v>
      </c>
      <c r="J280" s="747" t="s">
        <v>29</v>
      </c>
      <c r="K280" s="126">
        <v>50</v>
      </c>
    </row>
    <row r="281" spans="1:11">
      <c r="A281" s="1130">
        <v>2</v>
      </c>
      <c r="B281" s="1207" t="s">
        <v>25</v>
      </c>
      <c r="C281" s="1167" t="s">
        <v>1534</v>
      </c>
      <c r="D281" s="1155"/>
      <c r="E281" s="1194">
        <v>2003</v>
      </c>
      <c r="F281" s="1195" t="s">
        <v>1707</v>
      </c>
      <c r="G281" s="766"/>
      <c r="I281" s="1163">
        <v>39.4</v>
      </c>
      <c r="J281" s="747" t="str">
        <f t="shared" ref="J281:J287" si="8">IF(ISBLANK(I281)," ",IF(ISTEXT(I281)," ",IF(I281&lt;=36.3,"МСМК",IF(I281&lt;=38.1,"МС",IF(I281&lt;=39.7,"КМС",IF(I281&lt;=42.6,"I",IF(I281&lt;=46.2,"II",IF(I281&lt;=50.2,"III",IF(I281&lt;=55,"I юн",IF(I281&lt;=100,"II юн",IF(I281&lt;=105.2,"III юн","б/р")))))))))))</f>
        <v>КМС</v>
      </c>
      <c r="K281" s="126">
        <v>46</v>
      </c>
    </row>
    <row r="282" spans="1:11">
      <c r="A282" s="1130">
        <v>3</v>
      </c>
      <c r="B282" s="1207" t="s">
        <v>27</v>
      </c>
      <c r="C282" s="1205" t="s">
        <v>1535</v>
      </c>
      <c r="D282" s="1204"/>
      <c r="E282" s="1206">
        <v>2002</v>
      </c>
      <c r="F282" s="1312" t="s">
        <v>1725</v>
      </c>
      <c r="G282" s="766"/>
      <c r="I282" s="1159">
        <v>39.840000000000003</v>
      </c>
      <c r="J282" s="747" t="str">
        <f t="shared" si="8"/>
        <v>I</v>
      </c>
      <c r="K282" s="126">
        <v>42</v>
      </c>
    </row>
    <row r="283" spans="1:11">
      <c r="A283" s="1130">
        <v>4</v>
      </c>
      <c r="B283" s="1168" t="s">
        <v>27</v>
      </c>
      <c r="C283" s="1205" t="s">
        <v>666</v>
      </c>
      <c r="D283" s="1204"/>
      <c r="E283" s="1206">
        <v>2003</v>
      </c>
      <c r="F283" s="1312" t="s">
        <v>1699</v>
      </c>
      <c r="G283" s="766"/>
      <c r="I283" s="1159">
        <v>41.11</v>
      </c>
      <c r="J283" s="747" t="str">
        <f t="shared" si="8"/>
        <v>I</v>
      </c>
      <c r="K283" s="126">
        <v>39</v>
      </c>
    </row>
    <row r="284" spans="1:11">
      <c r="A284" s="1130">
        <v>5</v>
      </c>
      <c r="B284" s="1207" t="s">
        <v>27</v>
      </c>
      <c r="C284" s="1205" t="s">
        <v>1413</v>
      </c>
      <c r="D284" s="1204"/>
      <c r="E284" s="1206">
        <v>1998</v>
      </c>
      <c r="F284" s="1312" t="s">
        <v>1691</v>
      </c>
      <c r="G284" s="766"/>
      <c r="I284" s="1159">
        <v>41.34</v>
      </c>
      <c r="J284" s="747" t="str">
        <f t="shared" si="8"/>
        <v>I</v>
      </c>
      <c r="K284" s="126">
        <v>36</v>
      </c>
    </row>
    <row r="285" spans="1:11">
      <c r="A285" s="1130">
        <v>6</v>
      </c>
      <c r="B285" s="1207" t="s">
        <v>27</v>
      </c>
      <c r="C285" s="1205" t="s">
        <v>567</v>
      </c>
      <c r="D285" s="1204"/>
      <c r="E285" s="1206">
        <v>1999</v>
      </c>
      <c r="F285" s="1205" t="s">
        <v>1695</v>
      </c>
      <c r="G285" s="766"/>
      <c r="I285" s="1159">
        <v>42.16</v>
      </c>
      <c r="J285" s="747" t="str">
        <f t="shared" si="8"/>
        <v>I</v>
      </c>
      <c r="K285" s="126">
        <v>33</v>
      </c>
    </row>
    <row r="286" spans="1:11">
      <c r="A286" s="1130">
        <v>7</v>
      </c>
      <c r="B286" s="1207" t="s">
        <v>29</v>
      </c>
      <c r="C286" s="1205" t="s">
        <v>1434</v>
      </c>
      <c r="D286" s="1204"/>
      <c r="E286" s="1206">
        <v>2003</v>
      </c>
      <c r="F286" s="1312" t="s">
        <v>1699</v>
      </c>
      <c r="G286" s="766"/>
      <c r="I286" s="1159">
        <v>42.84</v>
      </c>
      <c r="J286" s="747" t="str">
        <f t="shared" si="8"/>
        <v>II</v>
      </c>
      <c r="K286" s="126">
        <v>30</v>
      </c>
    </row>
    <row r="287" spans="1:11">
      <c r="A287" s="1130">
        <v>8</v>
      </c>
      <c r="B287" s="1207" t="s">
        <v>27</v>
      </c>
      <c r="C287" s="1205" t="s">
        <v>595</v>
      </c>
      <c r="D287" s="1204"/>
      <c r="E287" s="1206">
        <v>2000</v>
      </c>
      <c r="F287" s="1205" t="s">
        <v>1695</v>
      </c>
      <c r="G287" s="766"/>
      <c r="I287" s="1159">
        <v>43.18</v>
      </c>
      <c r="J287" s="747" t="str">
        <f t="shared" si="8"/>
        <v>II</v>
      </c>
      <c r="K287" s="126">
        <v>27</v>
      </c>
    </row>
    <row r="288" spans="1:11">
      <c r="A288" s="1130"/>
      <c r="B288" s="1207"/>
      <c r="C288" s="1205"/>
      <c r="D288" s="1204"/>
      <c r="E288" s="1206"/>
      <c r="F288" s="1310"/>
      <c r="G288" s="1310"/>
      <c r="I288" s="1160"/>
      <c r="K288" s="1210"/>
    </row>
    <row r="289" spans="1:15">
      <c r="A289" s="1130"/>
      <c r="B289" s="1202"/>
      <c r="C289" s="524" t="s">
        <v>1818</v>
      </c>
      <c r="D289" s="525"/>
      <c r="E289" s="526"/>
      <c r="F289" s="524"/>
      <c r="G289" s="524"/>
      <c r="I289" s="1160"/>
      <c r="K289" s="1210"/>
    </row>
    <row r="290" spans="1:15" ht="13.5" customHeight="1">
      <c r="A290" s="1130"/>
      <c r="B290" s="1210"/>
      <c r="C290" s="1210"/>
      <c r="D290" s="1210"/>
      <c r="E290" s="1210"/>
      <c r="F290" s="1210"/>
      <c r="G290" s="1210"/>
      <c r="I290" s="1196"/>
      <c r="K290" s="1210"/>
    </row>
    <row r="291" spans="1:15">
      <c r="A291" s="1130">
        <v>1</v>
      </c>
      <c r="B291" s="1207" t="s">
        <v>27</v>
      </c>
      <c r="C291" s="1205" t="s">
        <v>1529</v>
      </c>
      <c r="D291" s="1204"/>
      <c r="E291" s="1206">
        <v>2003</v>
      </c>
      <c r="F291" s="1312" t="s">
        <v>1725</v>
      </c>
      <c r="G291" s="766"/>
      <c r="I291" s="1159">
        <v>36.299999999999997</v>
      </c>
      <c r="J291" s="747" t="str">
        <f>IF(ISBLANK(I291)," ",IF(ISTEXT(I291)," ",IF(I291&lt;=33.1,"МСМК",IF(I291&lt;=34.7,"МС",IF(I291&lt;=36.2,"КМС",IF(I291&lt;=38.8,"I",IF(I291&lt;=42.1,"II",IF(I291&lt;=45.8,"III",IF(I291&lt;=50.2,"I юн",IF(I291&lt;=54.8,"II юн",IF(I291&lt;=59.4,"III юн","б/р")))))))))))</f>
        <v>I</v>
      </c>
      <c r="K291" s="126">
        <v>50</v>
      </c>
    </row>
    <row r="292" spans="1:15">
      <c r="A292" s="1130">
        <v>2</v>
      </c>
      <c r="B292" s="1207" t="s">
        <v>29</v>
      </c>
      <c r="C292" s="1205" t="s">
        <v>1348</v>
      </c>
      <c r="D292" s="1204"/>
      <c r="E292" s="1206">
        <v>2003</v>
      </c>
      <c r="F292" s="1205" t="s">
        <v>1695</v>
      </c>
      <c r="G292" s="766"/>
      <c r="I292" s="1159">
        <v>36.35</v>
      </c>
      <c r="J292" s="747" t="str">
        <f t="shared" ref="J292:J296" si="9">IF(ISBLANK(I292)," ",IF(ISTEXT(I292)," ",IF(I292&lt;=33.1,"МСМК",IF(I292&lt;=34.7,"МС",IF(I292&lt;=36.2,"КМС",IF(I292&lt;=38.8,"I",IF(I292&lt;=42.1,"II",IF(I292&lt;=45.8,"III",IF(I292&lt;=50.2,"I юн",IF(I292&lt;=54.8,"II юн",IF(I292&lt;=59.4,"III юн","б/р")))))))))))</f>
        <v>I</v>
      </c>
      <c r="K292" s="126">
        <v>46</v>
      </c>
    </row>
    <row r="293" spans="1:15">
      <c r="A293" s="1130">
        <v>3</v>
      </c>
      <c r="B293" s="1207" t="s">
        <v>27</v>
      </c>
      <c r="C293" s="1167" t="s">
        <v>1461</v>
      </c>
      <c r="D293" s="1155"/>
      <c r="E293" s="1194">
        <v>2003</v>
      </c>
      <c r="F293" s="1195" t="s">
        <v>1707</v>
      </c>
      <c r="G293" s="766"/>
      <c r="I293" s="1163">
        <v>36.47</v>
      </c>
      <c r="J293" s="747" t="str">
        <f t="shared" si="9"/>
        <v>I</v>
      </c>
      <c r="K293" s="126">
        <v>42</v>
      </c>
    </row>
    <row r="294" spans="1:15">
      <c r="A294" s="1130">
        <v>4</v>
      </c>
      <c r="B294" s="1207" t="s">
        <v>29</v>
      </c>
      <c r="C294" s="1205" t="s">
        <v>1416</v>
      </c>
      <c r="D294" s="1204"/>
      <c r="E294" s="1206">
        <v>2003</v>
      </c>
      <c r="F294" s="1205" t="s">
        <v>1695</v>
      </c>
      <c r="G294" s="766"/>
      <c r="I294" s="1159">
        <v>37.61</v>
      </c>
      <c r="J294" s="747" t="str">
        <f t="shared" si="9"/>
        <v>I</v>
      </c>
      <c r="K294" s="126">
        <v>39</v>
      </c>
    </row>
    <row r="295" spans="1:15">
      <c r="A295" s="1130">
        <v>5</v>
      </c>
      <c r="B295" s="1207" t="s">
        <v>27</v>
      </c>
      <c r="C295" s="1167" t="s">
        <v>1460</v>
      </c>
      <c r="D295" s="1155"/>
      <c r="E295" s="1194">
        <v>2003</v>
      </c>
      <c r="F295" s="1195" t="s">
        <v>1707</v>
      </c>
      <c r="G295" s="766"/>
      <c r="I295" s="1163">
        <v>38.81</v>
      </c>
      <c r="J295" s="747" t="str">
        <f t="shared" si="9"/>
        <v>II</v>
      </c>
      <c r="K295" s="126">
        <v>36</v>
      </c>
    </row>
    <row r="296" spans="1:15">
      <c r="A296" s="1130">
        <v>6</v>
      </c>
      <c r="B296" s="1207" t="s">
        <v>1</v>
      </c>
      <c r="C296" s="1205" t="s">
        <v>1375</v>
      </c>
      <c r="D296" s="1204"/>
      <c r="E296" s="1206">
        <v>2002</v>
      </c>
      <c r="F296" s="1312" t="s">
        <v>1699</v>
      </c>
      <c r="G296" s="766"/>
      <c r="I296" s="1159">
        <v>42.6</v>
      </c>
      <c r="J296" s="747" t="str">
        <f t="shared" si="9"/>
        <v>III</v>
      </c>
      <c r="K296" s="126">
        <v>33</v>
      </c>
    </row>
    <row r="297" spans="1:15">
      <c r="A297" s="1130"/>
      <c r="B297" s="1202" t="s">
        <v>25</v>
      </c>
      <c r="C297" s="1205" t="s">
        <v>1462</v>
      </c>
      <c r="D297" s="1204"/>
      <c r="E297" s="1206">
        <v>2001</v>
      </c>
      <c r="F297" s="1312" t="s">
        <v>1711</v>
      </c>
      <c r="G297" s="766"/>
      <c r="I297" s="1159" t="s">
        <v>1621</v>
      </c>
      <c r="K297" s="126">
        <v>0</v>
      </c>
    </row>
    <row r="298" spans="1:15">
      <c r="A298" s="1130"/>
      <c r="B298" s="1202"/>
      <c r="C298" s="1205"/>
      <c r="D298" s="1204"/>
      <c r="E298" s="1206"/>
      <c r="F298" s="23"/>
      <c r="G298" s="766"/>
      <c r="I298" s="1159"/>
      <c r="K298" s="126"/>
    </row>
    <row r="299" spans="1:15">
      <c r="A299" s="1130"/>
      <c r="B299" s="1202"/>
      <c r="C299" s="524" t="s">
        <v>1819</v>
      </c>
      <c r="D299" s="525"/>
      <c r="E299" s="526"/>
      <c r="F299" s="524"/>
      <c r="G299" s="1310"/>
      <c r="I299" s="1160"/>
      <c r="K299" s="1210"/>
    </row>
    <row r="300" spans="1:15">
      <c r="A300" s="1130"/>
      <c r="B300" s="1202"/>
      <c r="C300" s="524"/>
      <c r="D300" s="525"/>
      <c r="E300" s="526"/>
      <c r="F300" s="524"/>
      <c r="G300" s="1310"/>
      <c r="I300" s="1160"/>
      <c r="K300" s="1210"/>
    </row>
    <row r="301" spans="1:15">
      <c r="A301" s="1130">
        <v>1</v>
      </c>
      <c r="B301" s="1207" t="s">
        <v>27</v>
      </c>
      <c r="C301" s="1205" t="s">
        <v>1541</v>
      </c>
      <c r="D301" s="1204"/>
      <c r="E301" s="1206">
        <v>2003</v>
      </c>
      <c r="F301" s="1310" t="s">
        <v>1726</v>
      </c>
      <c r="G301" s="767"/>
      <c r="I301" s="1159" t="s">
        <v>1750</v>
      </c>
      <c r="J301" s="747" t="s">
        <v>29</v>
      </c>
      <c r="K301" s="126">
        <v>50</v>
      </c>
    </row>
    <row r="302" spans="1:15" ht="12.75" customHeight="1">
      <c r="A302" s="1130">
        <v>2</v>
      </c>
      <c r="B302" s="1207" t="s">
        <v>25</v>
      </c>
      <c r="C302" s="1205" t="s">
        <v>1486</v>
      </c>
      <c r="D302" s="1204"/>
      <c r="E302" s="1206">
        <v>1997</v>
      </c>
      <c r="F302" s="1312" t="s">
        <v>1711</v>
      </c>
      <c r="G302" s="766"/>
      <c r="I302" s="1160" t="s">
        <v>1746</v>
      </c>
      <c r="J302" s="747" t="s">
        <v>1</v>
      </c>
      <c r="K302" s="126">
        <v>46</v>
      </c>
    </row>
    <row r="303" spans="1:15">
      <c r="A303" s="1130">
        <v>3</v>
      </c>
      <c r="B303" s="1168" t="s">
        <v>27</v>
      </c>
      <c r="C303" s="1205" t="s">
        <v>666</v>
      </c>
      <c r="D303" s="1204"/>
      <c r="E303" s="1206">
        <v>2003</v>
      </c>
      <c r="F303" s="1312" t="s">
        <v>1699</v>
      </c>
      <c r="G303" s="766"/>
      <c r="I303" s="1160" t="s">
        <v>1745</v>
      </c>
      <c r="J303" s="747" t="s">
        <v>13</v>
      </c>
      <c r="K303" s="126">
        <v>42</v>
      </c>
      <c r="O303" s="765"/>
    </row>
    <row r="304" spans="1:15">
      <c r="A304" s="1130">
        <v>4</v>
      </c>
      <c r="B304" s="1207" t="s">
        <v>1</v>
      </c>
      <c r="C304" s="1205" t="s">
        <v>1435</v>
      </c>
      <c r="D304" s="1204"/>
      <c r="E304" s="1206">
        <v>2003</v>
      </c>
      <c r="F304" s="1312" t="s">
        <v>1699</v>
      </c>
      <c r="G304" s="766"/>
      <c r="I304" s="1160" t="s">
        <v>1749</v>
      </c>
      <c r="J304" s="747" t="s">
        <v>13</v>
      </c>
      <c r="K304" s="126">
        <v>39</v>
      </c>
      <c r="O304" s="765"/>
    </row>
    <row r="305" spans="1:15">
      <c r="A305" s="1130">
        <v>5</v>
      </c>
      <c r="B305" s="1207" t="s">
        <v>1</v>
      </c>
      <c r="C305" s="1167" t="s">
        <v>1436</v>
      </c>
      <c r="D305" s="1155"/>
      <c r="E305" s="1194">
        <v>2003</v>
      </c>
      <c r="F305" s="1195" t="s">
        <v>1707</v>
      </c>
      <c r="G305" s="766"/>
      <c r="I305" s="1163" t="s">
        <v>1743</v>
      </c>
      <c r="J305" s="747" t="s">
        <v>14</v>
      </c>
      <c r="K305" s="126">
        <v>36</v>
      </c>
      <c r="O305" s="765"/>
    </row>
    <row r="306" spans="1:15">
      <c r="A306" s="1130"/>
      <c r="B306" s="1207"/>
      <c r="C306" s="1157"/>
      <c r="D306" s="1204"/>
      <c r="E306" s="1206"/>
      <c r="F306" s="1310"/>
      <c r="G306" s="1310"/>
      <c r="I306" s="1160"/>
      <c r="J306" s="747"/>
      <c r="K306" s="1210"/>
      <c r="O306" s="765"/>
    </row>
    <row r="307" spans="1:15">
      <c r="A307" s="1130"/>
      <c r="B307" s="1207"/>
      <c r="C307" s="524" t="s">
        <v>1820</v>
      </c>
      <c r="D307" s="525"/>
      <c r="E307" s="526"/>
      <c r="F307" s="524"/>
      <c r="G307" s="524"/>
      <c r="I307" s="1160"/>
      <c r="J307" s="747"/>
      <c r="K307" s="1210"/>
      <c r="O307" s="765"/>
    </row>
    <row r="308" spans="1:15">
      <c r="A308" s="1130"/>
      <c r="B308" s="1210"/>
      <c r="C308" s="1210"/>
      <c r="D308" s="1210"/>
      <c r="E308" s="1210"/>
      <c r="F308" s="1210"/>
      <c r="G308" s="1210"/>
      <c r="I308" s="1210"/>
      <c r="J308" s="747"/>
      <c r="K308" s="1210"/>
      <c r="O308" s="765"/>
    </row>
    <row r="309" spans="1:15">
      <c r="A309" s="1130">
        <v>1</v>
      </c>
      <c r="B309" s="1197" t="s">
        <v>27</v>
      </c>
      <c r="C309" s="767" t="s">
        <v>1388</v>
      </c>
      <c r="D309" s="1204"/>
      <c r="E309" s="1203">
        <v>2002</v>
      </c>
      <c r="F309" s="1205" t="s">
        <v>1695</v>
      </c>
      <c r="G309" s="767"/>
      <c r="I309" s="1160" t="s">
        <v>1759</v>
      </c>
      <c r="J309" s="747" t="s">
        <v>13</v>
      </c>
      <c r="K309" s="126">
        <v>50</v>
      </c>
      <c r="O309" s="765"/>
    </row>
    <row r="310" spans="1:15">
      <c r="A310" s="1130">
        <v>2</v>
      </c>
      <c r="B310" s="1197" t="s">
        <v>29</v>
      </c>
      <c r="C310" s="1317" t="s">
        <v>1740</v>
      </c>
      <c r="D310" s="1180"/>
      <c r="E310" s="1194">
        <v>1999</v>
      </c>
      <c r="F310" s="1195" t="s">
        <v>1707</v>
      </c>
      <c r="G310" s="1324"/>
      <c r="I310" s="1160" t="s">
        <v>1753</v>
      </c>
      <c r="J310" s="747" t="s">
        <v>14</v>
      </c>
      <c r="K310" s="126">
        <v>46</v>
      </c>
      <c r="O310" s="765"/>
    </row>
    <row r="311" spans="1:15">
      <c r="A311" s="1130">
        <v>3</v>
      </c>
      <c r="B311" s="1197" t="s">
        <v>29</v>
      </c>
      <c r="C311" s="767" t="s">
        <v>1389</v>
      </c>
      <c r="D311" s="1204"/>
      <c r="E311" s="1203">
        <v>2001</v>
      </c>
      <c r="F311" s="1205" t="s">
        <v>1695</v>
      </c>
      <c r="G311" s="767"/>
      <c r="I311" s="1160" t="s">
        <v>1752</v>
      </c>
      <c r="J311" s="747" t="s">
        <v>14</v>
      </c>
      <c r="K311" s="1334" t="s">
        <v>12</v>
      </c>
      <c r="O311" s="765"/>
    </row>
    <row r="312" spans="1:15">
      <c r="A312" s="1130"/>
      <c r="B312" s="1197" t="s">
        <v>13</v>
      </c>
      <c r="C312" s="1317" t="s">
        <v>1533</v>
      </c>
      <c r="D312" s="1180"/>
      <c r="E312" s="1194">
        <v>2001</v>
      </c>
      <c r="F312" s="1195" t="s">
        <v>1707</v>
      </c>
      <c r="G312" s="1324"/>
      <c r="I312" s="1160" t="s">
        <v>1621</v>
      </c>
      <c r="J312" s="747"/>
      <c r="K312" s="126">
        <v>0</v>
      </c>
      <c r="O312" s="765"/>
    </row>
    <row r="313" spans="1:15">
      <c r="A313" s="1130"/>
      <c r="B313" s="1197"/>
      <c r="C313" s="767"/>
      <c r="D313" s="1204"/>
      <c r="E313" s="1203"/>
      <c r="F313" s="767"/>
      <c r="G313" s="767"/>
      <c r="I313" s="1160"/>
      <c r="K313" s="1239"/>
      <c r="O313" s="765"/>
    </row>
    <row r="314" spans="1:15">
      <c r="A314" s="1130"/>
      <c r="B314" s="1207"/>
      <c r="C314" s="524" t="s">
        <v>1821</v>
      </c>
      <c r="D314" s="542"/>
      <c r="E314" s="542"/>
      <c r="F314" s="542"/>
      <c r="G314" s="542"/>
      <c r="I314" s="1160"/>
      <c r="K314" s="1239"/>
      <c r="O314" s="765"/>
    </row>
    <row r="315" spans="1:15" ht="12" customHeight="1">
      <c r="A315" s="1130"/>
      <c r="B315" s="1207"/>
      <c r="C315" s="1157"/>
      <c r="D315" s="1204"/>
      <c r="E315" s="1206"/>
      <c r="F315" s="1310"/>
      <c r="G315" s="1310"/>
      <c r="I315" s="1160"/>
      <c r="K315" s="1241"/>
      <c r="O315" s="765"/>
    </row>
    <row r="316" spans="1:15">
      <c r="A316" s="1130">
        <v>1</v>
      </c>
      <c r="B316" s="1184" t="s">
        <v>27</v>
      </c>
      <c r="C316" s="1181" t="s">
        <v>1478</v>
      </c>
      <c r="D316" s="1181"/>
      <c r="E316" s="1182">
        <v>2001</v>
      </c>
      <c r="F316" s="1183" t="s">
        <v>1713</v>
      </c>
      <c r="G316" s="767"/>
      <c r="I316" s="1184" t="s">
        <v>1773</v>
      </c>
      <c r="J316" s="747" t="s">
        <v>29</v>
      </c>
      <c r="K316" s="126">
        <v>50</v>
      </c>
      <c r="O316" s="765"/>
    </row>
    <row r="317" spans="1:15">
      <c r="A317" s="1130">
        <v>2</v>
      </c>
      <c r="B317" s="1184" t="s">
        <v>27</v>
      </c>
      <c r="C317" s="1181" t="s">
        <v>1479</v>
      </c>
      <c r="D317" s="1181"/>
      <c r="E317" s="1182">
        <v>2000</v>
      </c>
      <c r="F317" s="1183" t="s">
        <v>1713</v>
      </c>
      <c r="G317" s="767"/>
      <c r="I317" s="1184" t="s">
        <v>1771</v>
      </c>
      <c r="J317" s="747" t="s">
        <v>29</v>
      </c>
      <c r="K317" s="1334" t="s">
        <v>12</v>
      </c>
      <c r="O317" s="765"/>
    </row>
    <row r="318" spans="1:15">
      <c r="A318" s="1130">
        <v>3</v>
      </c>
      <c r="B318" s="1207" t="s">
        <v>27</v>
      </c>
      <c r="C318" s="1205" t="s">
        <v>1359</v>
      </c>
      <c r="D318" s="1204"/>
      <c r="E318" s="1206">
        <v>2003</v>
      </c>
      <c r="F318" s="1205" t="s">
        <v>1695</v>
      </c>
      <c r="G318" s="767"/>
      <c r="I318" s="1159" t="s">
        <v>1772</v>
      </c>
      <c r="J318" s="747" t="s">
        <v>29</v>
      </c>
      <c r="K318" s="126">
        <v>46</v>
      </c>
      <c r="O318" s="765"/>
    </row>
    <row r="319" spans="1:15">
      <c r="A319" s="1130">
        <v>4</v>
      </c>
      <c r="B319" s="1207" t="s">
        <v>27</v>
      </c>
      <c r="C319" s="1205" t="s">
        <v>1487</v>
      </c>
      <c r="D319" s="1204"/>
      <c r="E319" s="1206">
        <v>2003</v>
      </c>
      <c r="F319" s="766" t="s">
        <v>1727</v>
      </c>
      <c r="G319" s="767"/>
      <c r="I319" s="1159" t="s">
        <v>1770</v>
      </c>
      <c r="J319" s="747" t="s">
        <v>29</v>
      </c>
      <c r="K319" s="126">
        <v>42</v>
      </c>
      <c r="O319" s="765"/>
    </row>
    <row r="320" spans="1:15">
      <c r="A320" s="1130">
        <v>5</v>
      </c>
      <c r="B320" s="1207" t="s">
        <v>27</v>
      </c>
      <c r="C320" s="1205" t="s">
        <v>1423</v>
      </c>
      <c r="D320" s="1204"/>
      <c r="E320" s="1206">
        <v>2002</v>
      </c>
      <c r="F320" s="1205" t="s">
        <v>1695</v>
      </c>
      <c r="G320" s="767"/>
      <c r="I320" s="1159" t="s">
        <v>1775</v>
      </c>
      <c r="J320" s="747" t="s">
        <v>29</v>
      </c>
      <c r="K320" s="126">
        <v>39</v>
      </c>
      <c r="O320" s="765"/>
    </row>
    <row r="321" spans="1:15">
      <c r="A321" s="1130">
        <v>6</v>
      </c>
      <c r="B321" s="1207" t="s">
        <v>29</v>
      </c>
      <c r="C321" s="1167" t="s">
        <v>1483</v>
      </c>
      <c r="D321" s="1155"/>
      <c r="E321" s="1194">
        <v>2003</v>
      </c>
      <c r="F321" s="1195" t="s">
        <v>1707</v>
      </c>
      <c r="G321" s="767"/>
      <c r="I321" s="1163" t="s">
        <v>1763</v>
      </c>
      <c r="J321" s="747" t="s">
        <v>29</v>
      </c>
      <c r="K321" s="126">
        <v>36</v>
      </c>
      <c r="O321" s="765"/>
    </row>
    <row r="322" spans="1:15">
      <c r="A322" s="1130">
        <v>7</v>
      </c>
      <c r="B322" s="1207" t="s">
        <v>27</v>
      </c>
      <c r="C322" s="1205" t="s">
        <v>1403</v>
      </c>
      <c r="D322" s="1204"/>
      <c r="E322" s="1206">
        <v>1998</v>
      </c>
      <c r="F322" s="1205" t="s">
        <v>1695</v>
      </c>
      <c r="G322" s="767"/>
      <c r="I322" s="1159" t="s">
        <v>1765</v>
      </c>
      <c r="J322" s="747" t="s">
        <v>1</v>
      </c>
      <c r="K322" s="126">
        <v>33</v>
      </c>
      <c r="O322" s="765"/>
    </row>
    <row r="323" spans="1:15">
      <c r="A323" s="1130">
        <v>8</v>
      </c>
      <c r="B323" s="1207" t="s">
        <v>1</v>
      </c>
      <c r="C323" s="1205" t="s">
        <v>1364</v>
      </c>
      <c r="D323" s="1193"/>
      <c r="E323" s="1206">
        <v>2000</v>
      </c>
      <c r="F323" s="1312" t="s">
        <v>1699</v>
      </c>
      <c r="G323" s="767"/>
      <c r="I323" s="1159" t="s">
        <v>1764</v>
      </c>
      <c r="J323" s="747" t="s">
        <v>1</v>
      </c>
      <c r="K323" s="126">
        <v>30</v>
      </c>
      <c r="O323" s="765"/>
    </row>
    <row r="324" spans="1:15">
      <c r="A324" s="1130">
        <v>9</v>
      </c>
      <c r="B324" s="1197" t="s">
        <v>1</v>
      </c>
      <c r="C324" s="767" t="s">
        <v>1432</v>
      </c>
      <c r="D324" s="1204"/>
      <c r="E324" s="1203">
        <v>2003</v>
      </c>
      <c r="F324" s="1205" t="s">
        <v>1695</v>
      </c>
      <c r="G324" s="767"/>
      <c r="I324" s="1159" t="s">
        <v>1762</v>
      </c>
      <c r="J324" s="747" t="s">
        <v>13</v>
      </c>
      <c r="K324" s="126" t="s">
        <v>12</v>
      </c>
      <c r="O324" s="765"/>
    </row>
    <row r="325" spans="1:15">
      <c r="A325" s="1130">
        <v>10</v>
      </c>
      <c r="B325" s="1207" t="s">
        <v>29</v>
      </c>
      <c r="C325" s="1205" t="s">
        <v>1539</v>
      </c>
      <c r="D325" s="1204"/>
      <c r="E325" s="1206">
        <v>2003</v>
      </c>
      <c r="F325" s="1312" t="s">
        <v>1699</v>
      </c>
      <c r="G325" s="766"/>
      <c r="I325" s="1160" t="s">
        <v>1769</v>
      </c>
      <c r="J325" s="747" t="s">
        <v>14</v>
      </c>
      <c r="K325" s="126">
        <v>27</v>
      </c>
    </row>
    <row r="326" spans="1:15">
      <c r="A326" s="1130">
        <v>11</v>
      </c>
      <c r="B326" s="1197" t="s">
        <v>1</v>
      </c>
      <c r="C326" s="767" t="s">
        <v>1540</v>
      </c>
      <c r="D326" s="1204"/>
      <c r="E326" s="1203">
        <v>2002</v>
      </c>
      <c r="F326" s="1312" t="s">
        <v>1699</v>
      </c>
      <c r="G326" s="766"/>
      <c r="H326" s="364"/>
      <c r="I326" s="1160" t="s">
        <v>1778</v>
      </c>
      <c r="J326" s="747" t="s">
        <v>35</v>
      </c>
      <c r="K326" s="126">
        <v>24</v>
      </c>
    </row>
    <row r="327" spans="1:15">
      <c r="A327" s="1130"/>
      <c r="B327" s="1207" t="s">
        <v>27</v>
      </c>
      <c r="C327" s="1167" t="s">
        <v>1481</v>
      </c>
      <c r="D327" s="1155"/>
      <c r="E327" s="1194">
        <v>2003</v>
      </c>
      <c r="F327" s="1195" t="s">
        <v>1707</v>
      </c>
      <c r="G327" s="767"/>
      <c r="I327" s="1163" t="s">
        <v>1776</v>
      </c>
      <c r="J327" s="747"/>
      <c r="K327" s="126">
        <v>0</v>
      </c>
    </row>
    <row r="328" spans="1:15">
      <c r="A328" s="1210"/>
      <c r="B328" s="1202"/>
      <c r="C328" s="1205"/>
      <c r="D328" s="1204"/>
      <c r="E328" s="1206"/>
      <c r="F328" s="1310"/>
      <c r="G328" s="1310"/>
      <c r="I328" s="1160"/>
      <c r="J328" s="747"/>
      <c r="K328" s="1196"/>
    </row>
    <row r="329" spans="1:15">
      <c r="A329" s="1130"/>
      <c r="B329" s="1132"/>
      <c r="C329" s="524" t="s">
        <v>1822</v>
      </c>
      <c r="D329" s="542"/>
      <c r="E329" s="542"/>
      <c r="F329" s="542"/>
      <c r="G329" s="542"/>
      <c r="I329" s="1133"/>
      <c r="J329" s="747"/>
      <c r="K329" s="1160"/>
    </row>
    <row r="330" spans="1:15" ht="11.25" customHeight="1">
      <c r="A330" s="1130"/>
      <c r="B330" s="1197"/>
      <c r="C330" s="767"/>
      <c r="D330" s="767"/>
      <c r="E330" s="1129"/>
      <c r="F330" s="17"/>
      <c r="G330" s="766"/>
      <c r="H330" s="364"/>
      <c r="I330" s="1160"/>
      <c r="J330" s="747"/>
      <c r="K330" s="1160"/>
    </row>
    <row r="331" spans="1:15">
      <c r="A331" s="1130">
        <v>1</v>
      </c>
      <c r="B331" s="1202" t="s">
        <v>27</v>
      </c>
      <c r="C331" s="767" t="s">
        <v>1349</v>
      </c>
      <c r="D331" s="1204"/>
      <c r="E331" s="1203">
        <v>2003</v>
      </c>
      <c r="F331" s="1205" t="s">
        <v>1695</v>
      </c>
      <c r="G331" s="766"/>
      <c r="I331" s="1159" t="s">
        <v>1797</v>
      </c>
      <c r="J331" s="747" t="s">
        <v>29</v>
      </c>
      <c r="K331" s="126">
        <v>50</v>
      </c>
    </row>
    <row r="332" spans="1:15">
      <c r="A332" s="1130">
        <v>2</v>
      </c>
      <c r="B332" s="1197" t="s">
        <v>27</v>
      </c>
      <c r="C332" s="767" t="s">
        <v>1408</v>
      </c>
      <c r="D332" s="1204"/>
      <c r="E332" s="1203">
        <v>2001</v>
      </c>
      <c r="F332" s="1205" t="s">
        <v>1695</v>
      </c>
      <c r="G332" s="766"/>
      <c r="I332" s="1159" t="s">
        <v>1794</v>
      </c>
      <c r="J332" s="747" t="s">
        <v>29</v>
      </c>
      <c r="K332" s="126">
        <v>46</v>
      </c>
    </row>
    <row r="333" spans="1:15">
      <c r="A333" s="1130">
        <v>3</v>
      </c>
      <c r="B333" s="1197" t="s">
        <v>27</v>
      </c>
      <c r="C333" s="767" t="s">
        <v>1374</v>
      </c>
      <c r="D333" s="1204"/>
      <c r="E333" s="1203">
        <v>2003</v>
      </c>
      <c r="F333" s="1205" t="s">
        <v>1695</v>
      </c>
      <c r="G333" s="766"/>
      <c r="I333" s="1159" t="s">
        <v>1793</v>
      </c>
      <c r="J333" s="747" t="s">
        <v>29</v>
      </c>
      <c r="K333" s="126">
        <v>42</v>
      </c>
    </row>
    <row r="334" spans="1:15">
      <c r="A334" s="1130">
        <v>4</v>
      </c>
      <c r="B334" s="1136" t="s">
        <v>27</v>
      </c>
      <c r="C334" s="1131" t="s">
        <v>1417</v>
      </c>
      <c r="D334" s="1131"/>
      <c r="E334" s="1136">
        <v>2003</v>
      </c>
      <c r="F334" s="1312" t="s">
        <v>1699</v>
      </c>
      <c r="G334" s="766"/>
      <c r="H334" s="1131"/>
      <c r="I334" s="1159" t="s">
        <v>1792</v>
      </c>
      <c r="J334" s="747" t="s">
        <v>1</v>
      </c>
      <c r="K334" s="126">
        <v>39</v>
      </c>
    </row>
    <row r="335" spans="1:15">
      <c r="A335" s="1130">
        <v>5</v>
      </c>
      <c r="B335" s="1197" t="s">
        <v>13</v>
      </c>
      <c r="C335" s="767" t="s">
        <v>1420</v>
      </c>
      <c r="D335" s="1204"/>
      <c r="E335" s="1203">
        <v>2002</v>
      </c>
      <c r="F335" s="1312" t="s">
        <v>1699</v>
      </c>
      <c r="G335" s="766"/>
      <c r="H335" s="1131"/>
      <c r="I335" s="1159" t="s">
        <v>1791</v>
      </c>
      <c r="J335" s="747" t="s">
        <v>1</v>
      </c>
      <c r="K335" s="126">
        <v>36</v>
      </c>
    </row>
    <row r="336" spans="1:15">
      <c r="A336" s="1130">
        <v>6</v>
      </c>
      <c r="B336" s="1202" t="s">
        <v>1</v>
      </c>
      <c r="C336" s="1317" t="s">
        <v>1509</v>
      </c>
      <c r="D336" s="1315"/>
      <c r="E336" s="1194">
        <v>2000</v>
      </c>
      <c r="F336" s="1195" t="s">
        <v>1707</v>
      </c>
      <c r="G336" s="766"/>
      <c r="I336" s="1159" t="s">
        <v>1799</v>
      </c>
      <c r="J336" s="747" t="s">
        <v>1</v>
      </c>
      <c r="K336" s="126">
        <v>33</v>
      </c>
    </row>
    <row r="337" spans="1:11">
      <c r="A337" s="1130">
        <v>7</v>
      </c>
      <c r="B337" s="1197" t="s">
        <v>29</v>
      </c>
      <c r="C337" s="767" t="s">
        <v>1378</v>
      </c>
      <c r="D337" s="1204"/>
      <c r="E337" s="1203">
        <v>2002</v>
      </c>
      <c r="F337" s="1205" t="s">
        <v>1695</v>
      </c>
      <c r="G337" s="766"/>
      <c r="H337" s="1131"/>
      <c r="I337" s="1159" t="s">
        <v>1790</v>
      </c>
      <c r="J337" s="747" t="s">
        <v>13</v>
      </c>
      <c r="K337" s="126" t="s">
        <v>12</v>
      </c>
    </row>
    <row r="338" spans="1:11">
      <c r="A338" s="1130"/>
      <c r="B338" s="1197"/>
      <c r="C338" s="767"/>
      <c r="D338" s="1204"/>
      <c r="E338" s="1203"/>
      <c r="F338" s="766"/>
      <c r="G338" s="766"/>
      <c r="I338" s="1159"/>
      <c r="K338" s="126"/>
    </row>
    <row r="339" spans="1:11">
      <c r="A339" s="1130"/>
      <c r="B339" s="1158"/>
      <c r="C339" s="1154"/>
      <c r="D339" s="1205"/>
      <c r="E339" s="1206"/>
      <c r="F339" s="27"/>
      <c r="G339" s="1310"/>
      <c r="I339" s="1156"/>
      <c r="K339" s="765"/>
    </row>
    <row r="340" spans="1:11">
      <c r="K340" s="765"/>
    </row>
    <row r="341" spans="1:11">
      <c r="K341" s="765"/>
    </row>
    <row r="342" spans="1:11">
      <c r="K342" s="765"/>
    </row>
    <row r="343" spans="1:11">
      <c r="K343" s="765"/>
    </row>
    <row r="344" spans="1:11">
      <c r="K344" s="765"/>
    </row>
    <row r="345" spans="1:11">
      <c r="A345" s="1210"/>
      <c r="B345" s="1210"/>
      <c r="C345" s="524"/>
      <c r="D345" s="525"/>
      <c r="E345" s="526"/>
      <c r="F345" s="524"/>
      <c r="G345" s="1210"/>
      <c r="H345" s="537"/>
      <c r="I345" s="1210"/>
    </row>
    <row r="346" spans="1:11">
      <c r="A346" s="1210"/>
      <c r="B346" s="1210"/>
      <c r="C346" s="524" t="s">
        <v>1831</v>
      </c>
      <c r="D346" s="525"/>
      <c r="E346" s="526"/>
      <c r="F346" s="524"/>
      <c r="G346" s="524"/>
      <c r="H346" s="527"/>
      <c r="I346" s="732"/>
    </row>
    <row r="347" spans="1:11">
      <c r="A347" s="1130"/>
      <c r="B347" s="1210"/>
      <c r="C347" s="1210"/>
      <c r="D347" s="1210"/>
      <c r="E347" s="1210"/>
      <c r="F347" s="1210"/>
      <c r="G347" s="1210"/>
      <c r="H347" s="1210"/>
      <c r="I347" s="1210"/>
    </row>
    <row r="348" spans="1:11">
      <c r="A348" s="1130">
        <v>1</v>
      </c>
      <c r="B348" s="1207" t="s">
        <v>23</v>
      </c>
      <c r="C348" s="1167" t="s">
        <v>1736</v>
      </c>
      <c r="D348" s="1166"/>
      <c r="E348" s="1194">
        <v>1999</v>
      </c>
      <c r="F348" s="1313" t="s">
        <v>1443</v>
      </c>
      <c r="G348" s="766" t="s">
        <v>1833</v>
      </c>
      <c r="I348" s="1159">
        <v>16.86</v>
      </c>
      <c r="J348" s="1163"/>
      <c r="K348" s="126">
        <v>50</v>
      </c>
    </row>
    <row r="349" spans="1:11">
      <c r="A349" s="1130">
        <v>2</v>
      </c>
      <c r="B349" s="1207" t="s">
        <v>25</v>
      </c>
      <c r="C349" s="1167" t="s">
        <v>1534</v>
      </c>
      <c r="D349" s="1166"/>
      <c r="E349" s="1194">
        <v>2003</v>
      </c>
      <c r="F349" s="1313" t="s">
        <v>1443</v>
      </c>
      <c r="G349" s="766" t="s">
        <v>1833</v>
      </c>
      <c r="I349" s="1159">
        <v>17.510000000000002</v>
      </c>
      <c r="J349" s="1163"/>
      <c r="K349" s="126">
        <v>46</v>
      </c>
    </row>
    <row r="350" spans="1:11">
      <c r="A350" s="1130">
        <v>3</v>
      </c>
      <c r="B350" s="1207" t="s">
        <v>27</v>
      </c>
      <c r="C350" s="1205" t="s">
        <v>567</v>
      </c>
      <c r="D350" s="1204"/>
      <c r="E350" s="1206">
        <v>1999</v>
      </c>
      <c r="F350" s="1330" t="s">
        <v>1431</v>
      </c>
      <c r="G350" s="766" t="s">
        <v>1832</v>
      </c>
      <c r="I350" s="1159">
        <v>18.11</v>
      </c>
      <c r="J350" s="1160"/>
      <c r="K350" s="126">
        <v>42</v>
      </c>
    </row>
    <row r="351" spans="1:11">
      <c r="A351" s="1130">
        <v>4</v>
      </c>
      <c r="B351" s="1207" t="s">
        <v>27</v>
      </c>
      <c r="C351" s="1205" t="s">
        <v>1535</v>
      </c>
      <c r="D351" s="1204"/>
      <c r="E351" s="1206">
        <v>2002</v>
      </c>
      <c r="F351" s="1330" t="s">
        <v>1485</v>
      </c>
      <c r="G351" s="766" t="s">
        <v>1833</v>
      </c>
      <c r="I351" s="1159">
        <v>18.39</v>
      </c>
      <c r="J351" s="1160"/>
      <c r="K351" s="126">
        <v>39</v>
      </c>
    </row>
    <row r="352" spans="1:11">
      <c r="A352" s="1130">
        <v>5</v>
      </c>
      <c r="B352" s="1207" t="s">
        <v>25</v>
      </c>
      <c r="C352" s="1205" t="s">
        <v>580</v>
      </c>
      <c r="D352" s="1204"/>
      <c r="E352" s="1206">
        <v>1998</v>
      </c>
      <c r="F352" s="1330" t="s">
        <v>1431</v>
      </c>
      <c r="G352" s="766" t="s">
        <v>1832</v>
      </c>
      <c r="I352" s="1159">
        <v>18.64</v>
      </c>
      <c r="J352" s="1160"/>
      <c r="K352" s="126">
        <v>36</v>
      </c>
    </row>
    <row r="353" spans="1:11">
      <c r="A353" s="1130">
        <v>6</v>
      </c>
      <c r="B353" s="1207" t="s">
        <v>29</v>
      </c>
      <c r="C353" s="1205" t="s">
        <v>1434</v>
      </c>
      <c r="D353" s="1204"/>
      <c r="E353" s="1206">
        <v>2003</v>
      </c>
      <c r="F353" s="1330" t="s">
        <v>1433</v>
      </c>
      <c r="G353" s="766" t="s">
        <v>1832</v>
      </c>
      <c r="I353" s="1159">
        <v>18.96</v>
      </c>
      <c r="J353" s="1160"/>
      <c r="K353" s="126">
        <v>33</v>
      </c>
    </row>
    <row r="354" spans="1:11">
      <c r="A354" s="1130">
        <v>7</v>
      </c>
      <c r="B354" s="1207" t="s">
        <v>27</v>
      </c>
      <c r="C354" s="1205" t="s">
        <v>1735</v>
      </c>
      <c r="D354" s="1204"/>
      <c r="E354" s="1206">
        <v>2001</v>
      </c>
      <c r="F354" s="1330" t="s">
        <v>1463</v>
      </c>
      <c r="G354" s="766" t="s">
        <v>1833</v>
      </c>
      <c r="I354" s="1159">
        <v>19.22</v>
      </c>
      <c r="J354" s="1160"/>
      <c r="K354" s="126">
        <v>30</v>
      </c>
    </row>
    <row r="355" spans="1:11">
      <c r="A355" s="1130">
        <v>8</v>
      </c>
      <c r="B355" s="1207" t="s">
        <v>29</v>
      </c>
      <c r="C355" s="1205" t="s">
        <v>1414</v>
      </c>
      <c r="D355" s="1204"/>
      <c r="E355" s="1206">
        <v>2001</v>
      </c>
      <c r="F355" s="1330" t="s">
        <v>1433</v>
      </c>
      <c r="G355" s="766" t="s">
        <v>1832</v>
      </c>
      <c r="I355" s="1159">
        <v>20.81</v>
      </c>
      <c r="J355" s="1160"/>
      <c r="K355" s="126">
        <v>27</v>
      </c>
    </row>
    <row r="356" spans="1:11">
      <c r="A356" s="1130">
        <v>9</v>
      </c>
      <c r="B356" s="1207" t="s">
        <v>1</v>
      </c>
      <c r="C356" s="1205" t="s">
        <v>1432</v>
      </c>
      <c r="D356" s="1204"/>
      <c r="E356" s="1206">
        <v>2003</v>
      </c>
      <c r="F356" s="1330" t="s">
        <v>1431</v>
      </c>
      <c r="G356" s="766" t="s">
        <v>1832</v>
      </c>
      <c r="I356" s="1159">
        <v>20.96</v>
      </c>
      <c r="J356" s="1160"/>
      <c r="K356" s="765" t="s">
        <v>12</v>
      </c>
    </row>
    <row r="357" spans="1:11">
      <c r="A357" s="1130"/>
      <c r="B357" s="1207" t="s">
        <v>27</v>
      </c>
      <c r="C357" s="1167" t="s">
        <v>1734</v>
      </c>
      <c r="D357" s="1166"/>
      <c r="E357" s="1194">
        <v>2001</v>
      </c>
      <c r="F357" s="1313" t="s">
        <v>1443</v>
      </c>
      <c r="G357" s="766" t="s">
        <v>1833</v>
      </c>
      <c r="I357" s="1473" t="s">
        <v>1621</v>
      </c>
      <c r="J357" s="1163"/>
      <c r="K357" s="1160">
        <v>0</v>
      </c>
    </row>
    <row r="358" spans="1:11">
      <c r="A358" s="1130"/>
      <c r="B358" s="1197"/>
      <c r="C358" s="767"/>
      <c r="D358" s="767"/>
      <c r="E358" s="1203"/>
      <c r="F358" s="766"/>
      <c r="G358" s="766"/>
      <c r="H358" s="364"/>
      <c r="I358" s="364"/>
      <c r="J358" s="1160"/>
      <c r="K358" s="1160"/>
    </row>
    <row r="359" spans="1:11">
      <c r="A359" s="1130"/>
      <c r="B359" s="1207"/>
      <c r="C359" s="524" t="s">
        <v>1834</v>
      </c>
      <c r="D359" s="525"/>
      <c r="E359" s="526"/>
      <c r="F359" s="524"/>
      <c r="G359" s="524"/>
      <c r="J359" s="1160"/>
      <c r="K359" s="1196"/>
    </row>
    <row r="360" spans="1:11">
      <c r="A360" s="1130"/>
      <c r="K360" s="1203"/>
    </row>
    <row r="361" spans="1:11">
      <c r="A361" s="1130">
        <v>1</v>
      </c>
      <c r="B361" s="1202" t="s">
        <v>25</v>
      </c>
      <c r="C361" s="1205" t="s">
        <v>1462</v>
      </c>
      <c r="D361" s="1204"/>
      <c r="E361" s="1206">
        <v>2001</v>
      </c>
      <c r="F361" s="17" t="s">
        <v>1463</v>
      </c>
      <c r="G361" s="767" t="s">
        <v>1442</v>
      </c>
      <c r="I361" s="1159">
        <v>14.72</v>
      </c>
      <c r="J361" s="1160"/>
      <c r="K361" s="126">
        <v>50</v>
      </c>
    </row>
    <row r="362" spans="1:11">
      <c r="A362" s="1130">
        <v>2</v>
      </c>
      <c r="B362" s="1177" t="s">
        <v>23</v>
      </c>
      <c r="C362" s="1157" t="s">
        <v>1453</v>
      </c>
      <c r="D362" s="1166"/>
      <c r="E362" s="1206">
        <v>2002</v>
      </c>
      <c r="F362" s="1205" t="s">
        <v>1454</v>
      </c>
      <c r="G362" s="767" t="s">
        <v>1465</v>
      </c>
      <c r="I362" s="1159">
        <v>14.97</v>
      </c>
      <c r="J362" s="1160"/>
      <c r="K362" s="1160" t="s">
        <v>12</v>
      </c>
    </row>
    <row r="363" spans="1:11">
      <c r="A363" s="1130">
        <v>3</v>
      </c>
      <c r="B363" s="1207" t="s">
        <v>27</v>
      </c>
      <c r="C363" s="1167" t="s">
        <v>1459</v>
      </c>
      <c r="D363" s="1166"/>
      <c r="E363" s="1194">
        <v>2003</v>
      </c>
      <c r="F363" s="1190" t="s">
        <v>1443</v>
      </c>
      <c r="G363" s="767" t="s">
        <v>1442</v>
      </c>
      <c r="I363" s="1159">
        <v>15.64</v>
      </c>
      <c r="J363" s="1163"/>
      <c r="K363" s="1160" t="s">
        <v>12</v>
      </c>
    </row>
    <row r="364" spans="1:11">
      <c r="A364" s="1130">
        <v>4</v>
      </c>
      <c r="B364" s="1207" t="s">
        <v>27</v>
      </c>
      <c r="C364" s="1167" t="s">
        <v>1461</v>
      </c>
      <c r="D364" s="1166"/>
      <c r="E364" s="1194">
        <v>2003</v>
      </c>
      <c r="F364" s="1190" t="s">
        <v>1443</v>
      </c>
      <c r="G364" s="767" t="s">
        <v>1442</v>
      </c>
      <c r="I364" s="1159">
        <v>15.92</v>
      </c>
      <c r="J364" s="1163"/>
      <c r="K364" s="1160" t="s">
        <v>12</v>
      </c>
    </row>
    <row r="365" spans="1:11">
      <c r="A365" s="1130">
        <v>5</v>
      </c>
      <c r="B365" s="1207" t="s">
        <v>27</v>
      </c>
      <c r="C365" s="1167" t="s">
        <v>1460</v>
      </c>
      <c r="D365" s="1166"/>
      <c r="E365" s="1194">
        <v>2003</v>
      </c>
      <c r="F365" s="1190" t="s">
        <v>1443</v>
      </c>
      <c r="G365" s="767" t="s">
        <v>1442</v>
      </c>
      <c r="I365" s="1159">
        <v>16.010000000000002</v>
      </c>
      <c r="J365" s="1163"/>
      <c r="K365" s="538">
        <v>46</v>
      </c>
    </row>
    <row r="366" spans="1:11">
      <c r="A366" s="1130">
        <v>6</v>
      </c>
      <c r="B366" s="1207" t="s">
        <v>27</v>
      </c>
      <c r="C366" s="1205" t="s">
        <v>1529</v>
      </c>
      <c r="D366" s="1204"/>
      <c r="E366" s="1206">
        <v>2003</v>
      </c>
      <c r="F366" s="1205" t="s">
        <v>1485</v>
      </c>
      <c r="G366" s="767" t="s">
        <v>1442</v>
      </c>
      <c r="I366" s="1159">
        <v>16.14</v>
      </c>
      <c r="J366" s="1160"/>
      <c r="K366" s="538">
        <v>42</v>
      </c>
    </row>
    <row r="367" spans="1:11">
      <c r="A367" s="1130">
        <v>7</v>
      </c>
      <c r="B367" s="1207" t="s">
        <v>29</v>
      </c>
      <c r="C367" s="1205" t="s">
        <v>1348</v>
      </c>
      <c r="D367" s="1204"/>
      <c r="E367" s="1206">
        <v>2003</v>
      </c>
      <c r="F367" s="1205" t="s">
        <v>1431</v>
      </c>
      <c r="G367" s="767" t="s">
        <v>1447</v>
      </c>
      <c r="I367" s="1159">
        <v>16.2</v>
      </c>
      <c r="J367" s="1160"/>
      <c r="K367" s="538">
        <v>39</v>
      </c>
    </row>
    <row r="368" spans="1:11">
      <c r="A368" s="1130">
        <v>8</v>
      </c>
      <c r="B368" s="1207" t="s">
        <v>29</v>
      </c>
      <c r="C368" s="1205" t="s">
        <v>1416</v>
      </c>
      <c r="D368" s="1204"/>
      <c r="E368" s="1206">
        <v>2003</v>
      </c>
      <c r="F368" s="1205" t="s">
        <v>1431</v>
      </c>
      <c r="G368" s="767" t="s">
        <v>1447</v>
      </c>
      <c r="I368" s="1159">
        <v>16.260000000000002</v>
      </c>
      <c r="J368" s="1160"/>
      <c r="K368" s="538">
        <v>36</v>
      </c>
    </row>
    <row r="369" spans="1:11">
      <c r="A369" s="1130">
        <v>9</v>
      </c>
      <c r="B369" s="1207" t="s">
        <v>27</v>
      </c>
      <c r="C369" s="1167" t="s">
        <v>1458</v>
      </c>
      <c r="D369" s="1166"/>
      <c r="E369" s="1194">
        <v>2001</v>
      </c>
      <c r="F369" s="1190" t="s">
        <v>1443</v>
      </c>
      <c r="G369" s="767" t="s">
        <v>1442</v>
      </c>
      <c r="I369" s="1159">
        <v>16.28</v>
      </c>
      <c r="J369" s="1163"/>
      <c r="K369" s="538">
        <v>33</v>
      </c>
    </row>
    <row r="370" spans="1:11">
      <c r="A370" s="1130">
        <v>10</v>
      </c>
      <c r="B370" s="1207" t="s">
        <v>27</v>
      </c>
      <c r="C370" s="1205" t="s">
        <v>1532</v>
      </c>
      <c r="D370" s="1204"/>
      <c r="E370" s="1206">
        <v>1999</v>
      </c>
      <c r="F370" s="1205" t="s">
        <v>1431</v>
      </c>
      <c r="G370" s="767" t="s">
        <v>1447</v>
      </c>
      <c r="I370" s="1159">
        <v>16.579999999999998</v>
      </c>
      <c r="J370" s="1160"/>
      <c r="K370" s="538">
        <v>30</v>
      </c>
    </row>
    <row r="371" spans="1:11">
      <c r="A371" s="1130">
        <v>11</v>
      </c>
      <c r="B371" s="1207" t="s">
        <v>27</v>
      </c>
      <c r="C371" s="1167" t="s">
        <v>1508</v>
      </c>
      <c r="D371" s="1166"/>
      <c r="E371" s="1194">
        <v>2003</v>
      </c>
      <c r="F371" s="1190" t="s">
        <v>1443</v>
      </c>
      <c r="G371" s="767" t="s">
        <v>1442</v>
      </c>
      <c r="I371" s="1159">
        <v>16.87</v>
      </c>
      <c r="J371" s="1163"/>
      <c r="K371" s="538">
        <v>27</v>
      </c>
    </row>
    <row r="372" spans="1:11">
      <c r="A372" s="1130">
        <v>12</v>
      </c>
      <c r="B372" s="1177" t="s">
        <v>15</v>
      </c>
      <c r="C372" s="1205" t="s">
        <v>1456</v>
      </c>
      <c r="D372" s="1204"/>
      <c r="E372" s="1206">
        <v>2002</v>
      </c>
      <c r="F372" s="1205" t="s">
        <v>1452</v>
      </c>
      <c r="G372" s="767" t="s">
        <v>1442</v>
      </c>
      <c r="I372" s="1159">
        <v>16.98</v>
      </c>
      <c r="J372" s="1160"/>
      <c r="K372" s="538">
        <v>24</v>
      </c>
    </row>
    <row r="373" spans="1:11">
      <c r="A373" s="1130">
        <v>13</v>
      </c>
      <c r="B373" s="1177" t="s">
        <v>15</v>
      </c>
      <c r="C373" s="1205" t="s">
        <v>1506</v>
      </c>
      <c r="D373" s="1204"/>
      <c r="E373" s="1206">
        <v>1996</v>
      </c>
      <c r="F373" s="1205" t="s">
        <v>1452</v>
      </c>
      <c r="G373" s="767" t="s">
        <v>1442</v>
      </c>
      <c r="I373" s="1159">
        <v>17.149999999999999</v>
      </c>
      <c r="J373" s="1160"/>
      <c r="K373" s="538">
        <v>22</v>
      </c>
    </row>
    <row r="374" spans="1:11">
      <c r="A374" s="1130">
        <v>14</v>
      </c>
      <c r="B374" s="1207" t="s">
        <v>27</v>
      </c>
      <c r="C374" s="1205" t="s">
        <v>1374</v>
      </c>
      <c r="D374" s="1204"/>
      <c r="E374" s="1206">
        <v>2003</v>
      </c>
      <c r="F374" s="1205" t="s">
        <v>1431</v>
      </c>
      <c r="G374" s="767" t="s">
        <v>1447</v>
      </c>
      <c r="I374" s="1159">
        <v>17.16</v>
      </c>
      <c r="J374" s="1160"/>
      <c r="K374" s="1160" t="s">
        <v>12</v>
      </c>
    </row>
    <row r="375" spans="1:11">
      <c r="A375" s="1130">
        <v>15</v>
      </c>
      <c r="B375" s="1207" t="s">
        <v>29</v>
      </c>
      <c r="C375" s="1167" t="s">
        <v>1740</v>
      </c>
      <c r="D375" s="1166"/>
      <c r="E375" s="1194">
        <v>1999</v>
      </c>
      <c r="F375" s="1190" t="s">
        <v>1443</v>
      </c>
      <c r="G375" s="767" t="s">
        <v>1442</v>
      </c>
      <c r="I375" s="1159">
        <v>17.23</v>
      </c>
      <c r="J375" s="1163"/>
      <c r="K375" s="538">
        <v>20</v>
      </c>
    </row>
    <row r="376" spans="1:11">
      <c r="A376" s="1130">
        <v>16</v>
      </c>
      <c r="B376" s="1207" t="s">
        <v>29</v>
      </c>
      <c r="C376" s="1205" t="s">
        <v>1378</v>
      </c>
      <c r="D376" s="1204"/>
      <c r="E376" s="1206">
        <v>2002</v>
      </c>
      <c r="F376" s="1205" t="s">
        <v>1431</v>
      </c>
      <c r="G376" s="767" t="s">
        <v>1447</v>
      </c>
      <c r="I376" s="1159">
        <v>17.45</v>
      </c>
      <c r="J376" s="1160"/>
      <c r="K376" s="1160" t="s">
        <v>12</v>
      </c>
    </row>
    <row r="377" spans="1:11">
      <c r="A377" s="1130">
        <v>17</v>
      </c>
      <c r="B377" s="1207" t="s">
        <v>29</v>
      </c>
      <c r="C377" s="1205" t="s">
        <v>1389</v>
      </c>
      <c r="D377" s="1204"/>
      <c r="E377" s="1206">
        <v>2001</v>
      </c>
      <c r="F377" s="1205" t="s">
        <v>1431</v>
      </c>
      <c r="G377" s="767" t="s">
        <v>1447</v>
      </c>
      <c r="I377" s="1159">
        <v>17.53</v>
      </c>
      <c r="J377" s="1160"/>
      <c r="K377" s="1160" t="s">
        <v>12</v>
      </c>
    </row>
    <row r="378" spans="1:11">
      <c r="A378" s="1130">
        <v>18</v>
      </c>
      <c r="B378" s="1207" t="s">
        <v>1</v>
      </c>
      <c r="C378" s="1205" t="s">
        <v>1375</v>
      </c>
      <c r="D378" s="1204"/>
      <c r="E378" s="1206">
        <v>2002</v>
      </c>
      <c r="F378" s="1205" t="s">
        <v>1433</v>
      </c>
      <c r="G378" s="767" t="s">
        <v>1447</v>
      </c>
      <c r="I378" s="1159">
        <v>17.53</v>
      </c>
      <c r="J378" s="1160"/>
      <c r="K378" s="538">
        <v>18</v>
      </c>
    </row>
    <row r="379" spans="1:11">
      <c r="A379" s="1130">
        <v>19</v>
      </c>
      <c r="B379" s="1168" t="s">
        <v>29</v>
      </c>
      <c r="C379" s="1205" t="s">
        <v>1507</v>
      </c>
      <c r="D379" s="1204"/>
      <c r="E379" s="1206">
        <v>2003</v>
      </c>
      <c r="F379" s="1205" t="s">
        <v>1433</v>
      </c>
      <c r="G379" s="767" t="s">
        <v>1447</v>
      </c>
      <c r="I379" s="1159">
        <v>17.739999999999998</v>
      </c>
      <c r="J379" s="1160"/>
      <c r="K379" s="538">
        <v>16</v>
      </c>
    </row>
    <row r="380" spans="1:11">
      <c r="A380" s="1130">
        <v>20</v>
      </c>
      <c r="B380" s="1207" t="s">
        <v>29</v>
      </c>
      <c r="C380" s="1205" t="s">
        <v>1390</v>
      </c>
      <c r="D380" s="1204"/>
      <c r="E380" s="1206">
        <v>2003</v>
      </c>
      <c r="F380" s="1205" t="s">
        <v>1433</v>
      </c>
      <c r="G380" s="767" t="s">
        <v>1447</v>
      </c>
      <c r="I380" s="1159">
        <v>18.100000000000001</v>
      </c>
      <c r="J380" s="1163"/>
      <c r="K380" s="538">
        <v>14</v>
      </c>
    </row>
    <row r="381" spans="1:11">
      <c r="A381" s="1130">
        <v>21</v>
      </c>
      <c r="B381" s="1207" t="s">
        <v>29</v>
      </c>
      <c r="C381" s="1205" t="s">
        <v>1377</v>
      </c>
      <c r="D381" s="1204"/>
      <c r="E381" s="1206">
        <v>2002</v>
      </c>
      <c r="F381" s="1205" t="s">
        <v>1431</v>
      </c>
      <c r="G381" s="767" t="s">
        <v>1447</v>
      </c>
      <c r="I381" s="1159">
        <v>19.02</v>
      </c>
      <c r="J381" s="1160"/>
      <c r="K381" s="1160" t="s">
        <v>12</v>
      </c>
    </row>
    <row r="382" spans="1:11">
      <c r="A382" s="1130">
        <v>22</v>
      </c>
      <c r="B382" s="1177" t="s">
        <v>15</v>
      </c>
      <c r="C382" s="1205" t="s">
        <v>1505</v>
      </c>
      <c r="D382" s="1204"/>
      <c r="E382" s="1206">
        <v>2000</v>
      </c>
      <c r="F382" s="1205" t="s">
        <v>1452</v>
      </c>
      <c r="G382" s="767" t="s">
        <v>1442</v>
      </c>
      <c r="I382" s="1159">
        <v>20.309999999999999</v>
      </c>
      <c r="J382" s="1160"/>
      <c r="K382" s="538">
        <v>12</v>
      </c>
    </row>
    <row r="383" spans="1:11">
      <c r="A383" s="1130"/>
      <c r="B383" s="1210"/>
      <c r="C383" s="1210"/>
      <c r="D383" s="1210"/>
      <c r="E383" s="1210"/>
      <c r="F383" s="1210"/>
      <c r="G383" s="1210"/>
      <c r="J383" s="1210"/>
      <c r="K383" s="1160"/>
    </row>
    <row r="384" spans="1:11">
      <c r="A384" s="1130"/>
      <c r="B384" s="1210"/>
      <c r="C384" s="1210"/>
      <c r="D384" s="1210"/>
      <c r="E384" s="1210"/>
      <c r="F384" s="1210"/>
      <c r="G384" s="1210"/>
      <c r="J384" s="1210"/>
      <c r="K384" s="1210"/>
    </row>
    <row r="385" spans="1:11">
      <c r="A385" s="1130"/>
      <c r="B385" s="1207"/>
      <c r="C385" s="524" t="s">
        <v>1835</v>
      </c>
      <c r="D385" s="525"/>
      <c r="E385" s="526"/>
      <c r="F385" s="524"/>
      <c r="G385" s="524"/>
      <c r="J385" s="1209"/>
      <c r="K385" s="1160"/>
    </row>
    <row r="386" spans="1:11" ht="18">
      <c r="A386" s="1130"/>
      <c r="B386" s="1207"/>
      <c r="C386" s="1205"/>
      <c r="D386" s="1204"/>
      <c r="E386" s="1129"/>
      <c r="F386" s="1330"/>
      <c r="G386" s="1446"/>
      <c r="J386" s="1330"/>
      <c r="K386" s="1447"/>
    </row>
    <row r="387" spans="1:11">
      <c r="A387" s="1130">
        <v>1</v>
      </c>
      <c r="B387" s="1207" t="s">
        <v>27</v>
      </c>
      <c r="C387" s="1205" t="s">
        <v>1437</v>
      </c>
      <c r="D387" s="1204"/>
      <c r="E387" s="1206">
        <v>2002</v>
      </c>
      <c r="F387" s="1330" t="s">
        <v>1438</v>
      </c>
      <c r="G387" s="766" t="s">
        <v>1442</v>
      </c>
      <c r="I387" s="1159" t="s">
        <v>1874</v>
      </c>
      <c r="J387" s="1160"/>
      <c r="K387" s="538">
        <v>50</v>
      </c>
    </row>
    <row r="388" spans="1:11">
      <c r="A388" s="1130">
        <v>2</v>
      </c>
      <c r="B388" s="1207" t="s">
        <v>27</v>
      </c>
      <c r="C388" s="1205" t="s">
        <v>1541</v>
      </c>
      <c r="D388" s="1204"/>
      <c r="E388" s="1206">
        <v>2003</v>
      </c>
      <c r="F388" s="1330" t="s">
        <v>1542</v>
      </c>
      <c r="G388" s="767" t="s">
        <v>1442</v>
      </c>
      <c r="I388" s="1159" t="s">
        <v>1876</v>
      </c>
      <c r="J388" s="1159"/>
      <c r="K388" s="1160" t="s">
        <v>12</v>
      </c>
    </row>
    <row r="389" spans="1:11">
      <c r="A389" s="1130">
        <v>3</v>
      </c>
      <c r="B389" s="1207" t="s">
        <v>27</v>
      </c>
      <c r="C389" s="1205" t="s">
        <v>1413</v>
      </c>
      <c r="D389" s="1204"/>
      <c r="E389" s="1206">
        <v>1998</v>
      </c>
      <c r="F389" s="1330" t="s">
        <v>1430</v>
      </c>
      <c r="G389" s="766" t="s">
        <v>1447</v>
      </c>
      <c r="I389" s="1159" t="s">
        <v>1875</v>
      </c>
      <c r="J389" s="1160"/>
      <c r="K389" s="538">
        <v>46</v>
      </c>
    </row>
    <row r="390" spans="1:11">
      <c r="A390" s="1130">
        <v>4</v>
      </c>
      <c r="B390" s="1168" t="s">
        <v>27</v>
      </c>
      <c r="C390" s="1205" t="s">
        <v>666</v>
      </c>
      <c r="D390" s="1204"/>
      <c r="E390" s="1206">
        <v>2003</v>
      </c>
      <c r="F390" s="1330" t="s">
        <v>1433</v>
      </c>
      <c r="G390" s="766" t="s">
        <v>1447</v>
      </c>
      <c r="I390" s="1159" t="s">
        <v>1878</v>
      </c>
      <c r="J390" s="1160"/>
      <c r="K390" s="1160" t="s">
        <v>12</v>
      </c>
    </row>
    <row r="391" spans="1:11">
      <c r="A391" s="1130">
        <v>5</v>
      </c>
      <c r="B391" s="1207" t="s">
        <v>27</v>
      </c>
      <c r="C391" s="1205" t="s">
        <v>567</v>
      </c>
      <c r="D391" s="1204"/>
      <c r="E391" s="1206">
        <v>1999</v>
      </c>
      <c r="F391" s="1330" t="s">
        <v>1431</v>
      </c>
      <c r="G391" s="766" t="s">
        <v>1447</v>
      </c>
      <c r="I391" s="1159" t="s">
        <v>1873</v>
      </c>
      <c r="J391" s="1160"/>
      <c r="K391" s="1160" t="s">
        <v>12</v>
      </c>
    </row>
    <row r="392" spans="1:11">
      <c r="A392" s="1130">
        <v>6</v>
      </c>
      <c r="B392" s="1207" t="s">
        <v>1</v>
      </c>
      <c r="C392" s="1167" t="s">
        <v>1436</v>
      </c>
      <c r="D392" s="1194"/>
      <c r="E392" s="1206">
        <v>2003</v>
      </c>
      <c r="F392" s="1313" t="s">
        <v>1443</v>
      </c>
      <c r="G392" s="766" t="s">
        <v>1442</v>
      </c>
      <c r="I392" s="1159" t="s">
        <v>1872</v>
      </c>
      <c r="J392" s="1163"/>
      <c r="K392" s="538">
        <v>42</v>
      </c>
    </row>
    <row r="393" spans="1:11">
      <c r="A393" s="1130"/>
      <c r="B393" s="1207"/>
      <c r="C393" s="1167"/>
      <c r="D393" s="1155"/>
      <c r="E393" s="1194"/>
      <c r="F393" s="1195"/>
      <c r="G393" s="766"/>
      <c r="I393" s="1159"/>
      <c r="J393" s="1160"/>
      <c r="K393" s="1170"/>
    </row>
    <row r="394" spans="1:11">
      <c r="A394" s="1130"/>
      <c r="B394" s="1207"/>
      <c r="C394" s="524" t="s">
        <v>1836</v>
      </c>
      <c r="D394" s="525"/>
      <c r="E394" s="526"/>
      <c r="F394" s="524"/>
      <c r="G394" s="524"/>
      <c r="I394" s="1159"/>
      <c r="J394" s="1447"/>
      <c r="K394" s="1170"/>
    </row>
    <row r="395" spans="1:11">
      <c r="A395" s="1130"/>
      <c r="B395" s="1210"/>
      <c r="C395" s="1210"/>
      <c r="D395" s="1210"/>
      <c r="E395" s="1210"/>
      <c r="F395" s="1210"/>
      <c r="G395" s="1210"/>
      <c r="I395" s="1159"/>
      <c r="J395" s="1210"/>
      <c r="K395" s="1160"/>
    </row>
    <row r="396" spans="1:11">
      <c r="A396" s="1130">
        <v>1</v>
      </c>
      <c r="B396" s="1177" t="s">
        <v>23</v>
      </c>
      <c r="C396" s="1157" t="s">
        <v>1453</v>
      </c>
      <c r="D396" s="1166"/>
      <c r="E396" s="1206">
        <v>2002</v>
      </c>
      <c r="F396" s="1205" t="s">
        <v>1454</v>
      </c>
      <c r="G396" s="767" t="s">
        <v>1465</v>
      </c>
      <c r="I396" s="1159" t="s">
        <v>1891</v>
      </c>
      <c r="J396" s="1160"/>
      <c r="K396" s="538">
        <v>39</v>
      </c>
    </row>
    <row r="397" spans="1:11">
      <c r="A397" s="1130">
        <v>2</v>
      </c>
      <c r="B397" s="1207" t="s">
        <v>27</v>
      </c>
      <c r="C397" s="1167" t="s">
        <v>1459</v>
      </c>
      <c r="D397" s="1166"/>
      <c r="E397" s="1194">
        <v>2003</v>
      </c>
      <c r="F397" s="1190" t="s">
        <v>1443</v>
      </c>
      <c r="G397" s="767" t="s">
        <v>1465</v>
      </c>
      <c r="I397" s="1159" t="s">
        <v>1892</v>
      </c>
      <c r="J397" s="1163"/>
      <c r="K397" s="538">
        <v>36</v>
      </c>
    </row>
    <row r="398" spans="1:11">
      <c r="A398" s="1130">
        <v>3</v>
      </c>
      <c r="B398" s="1177" t="s">
        <v>15</v>
      </c>
      <c r="C398" s="1205" t="s">
        <v>1455</v>
      </c>
      <c r="D398" s="1166"/>
      <c r="E398" s="1206">
        <v>2002</v>
      </c>
      <c r="F398" s="1205" t="s">
        <v>1452</v>
      </c>
      <c r="G398" s="767" t="s">
        <v>1442</v>
      </c>
      <c r="I398" s="1159" t="s">
        <v>1895</v>
      </c>
      <c r="J398" s="1160"/>
      <c r="K398" s="538">
        <v>33</v>
      </c>
    </row>
    <row r="399" spans="1:11">
      <c r="A399" s="1130">
        <v>4</v>
      </c>
      <c r="B399" s="1207" t="s">
        <v>29</v>
      </c>
      <c r="C399" s="1205" t="s">
        <v>1348</v>
      </c>
      <c r="D399" s="1204"/>
      <c r="E399" s="1206">
        <v>2003</v>
      </c>
      <c r="F399" s="1205" t="s">
        <v>1431</v>
      </c>
      <c r="G399" s="767" t="s">
        <v>1447</v>
      </c>
      <c r="I399" s="1159" t="s">
        <v>1889</v>
      </c>
      <c r="J399" s="1160"/>
      <c r="K399" s="1160" t="s">
        <v>12</v>
      </c>
    </row>
    <row r="400" spans="1:11">
      <c r="A400" s="1130">
        <v>5</v>
      </c>
      <c r="B400" s="1207" t="s">
        <v>1837</v>
      </c>
      <c r="C400" s="1205" t="s">
        <v>1388</v>
      </c>
      <c r="D400" s="1204"/>
      <c r="E400" s="1206">
        <v>2002</v>
      </c>
      <c r="F400" s="1205" t="s">
        <v>1431</v>
      </c>
      <c r="G400" s="767" t="s">
        <v>1447</v>
      </c>
      <c r="I400" s="1159" t="s">
        <v>1887</v>
      </c>
      <c r="J400" s="1160"/>
      <c r="K400" s="538">
        <v>30</v>
      </c>
    </row>
    <row r="401" spans="1:15">
      <c r="A401" s="1130">
        <v>6</v>
      </c>
      <c r="B401" s="1207" t="s">
        <v>13</v>
      </c>
      <c r="C401" s="1167" t="s">
        <v>1533</v>
      </c>
      <c r="D401" s="1166"/>
      <c r="E401" s="1194">
        <v>2001</v>
      </c>
      <c r="F401" s="1190" t="s">
        <v>1443</v>
      </c>
      <c r="G401" s="767" t="s">
        <v>1465</v>
      </c>
      <c r="I401" s="1159" t="s">
        <v>1885</v>
      </c>
      <c r="J401" s="1163"/>
      <c r="K401" s="538">
        <v>27</v>
      </c>
    </row>
    <row r="402" spans="1:15">
      <c r="A402" s="1130"/>
      <c r="B402" s="1168"/>
      <c r="C402" s="1517"/>
      <c r="D402" s="1517"/>
      <c r="E402" s="1206"/>
      <c r="F402" s="1330"/>
      <c r="G402" s="766"/>
      <c r="I402" s="1159"/>
      <c r="J402" s="1209"/>
      <c r="K402" s="1210"/>
    </row>
    <row r="403" spans="1:15">
      <c r="A403" s="1130"/>
      <c r="B403" s="1207"/>
      <c r="C403" s="524" t="s">
        <v>1838</v>
      </c>
      <c r="D403" s="542"/>
      <c r="E403" s="542"/>
      <c r="F403" s="542"/>
      <c r="G403" s="542"/>
      <c r="I403" s="1159"/>
      <c r="J403" s="1447"/>
      <c r="K403" s="1210"/>
    </row>
    <row r="404" spans="1:15" ht="18">
      <c r="A404" s="1130"/>
      <c r="B404" s="49"/>
      <c r="C404" s="1167"/>
      <c r="D404" s="1155"/>
      <c r="E404" s="1129"/>
      <c r="F404" s="1131"/>
      <c r="G404" s="542"/>
      <c r="I404" s="1159"/>
      <c r="J404" s="1441"/>
      <c r="K404" s="1185"/>
    </row>
    <row r="405" spans="1:15">
      <c r="A405" s="1130">
        <v>1</v>
      </c>
      <c r="B405" s="1207" t="s">
        <v>27</v>
      </c>
      <c r="C405" s="1205" t="s">
        <v>1347</v>
      </c>
      <c r="D405" s="1204"/>
      <c r="E405" s="1206">
        <v>2003</v>
      </c>
      <c r="F405" s="1205" t="s">
        <v>1430</v>
      </c>
      <c r="G405" s="767" t="s">
        <v>1447</v>
      </c>
      <c r="I405" s="1159" t="s">
        <v>1913</v>
      </c>
      <c r="J405" s="1159"/>
      <c r="K405" s="538">
        <v>50</v>
      </c>
      <c r="O405" s="538"/>
    </row>
    <row r="406" spans="1:15">
      <c r="A406" s="1130">
        <v>2</v>
      </c>
      <c r="B406" s="1184" t="s">
        <v>27</v>
      </c>
      <c r="C406" s="1181" t="s">
        <v>1479</v>
      </c>
      <c r="D406" s="1181"/>
      <c r="E406" s="1182">
        <v>2000</v>
      </c>
      <c r="F406" s="1181" t="s">
        <v>1477</v>
      </c>
      <c r="G406" s="1181" t="s">
        <v>1442</v>
      </c>
      <c r="I406" s="1159" t="s">
        <v>1905</v>
      </c>
      <c r="J406" s="1184"/>
      <c r="K406" s="538">
        <v>46</v>
      </c>
      <c r="O406" s="538"/>
    </row>
    <row r="407" spans="1:15">
      <c r="A407" s="1130">
        <v>3</v>
      </c>
      <c r="B407" s="1207" t="s">
        <v>27</v>
      </c>
      <c r="C407" s="1205" t="s">
        <v>1359</v>
      </c>
      <c r="D407" s="1204"/>
      <c r="E407" s="1206">
        <v>2003</v>
      </c>
      <c r="F407" s="1205" t="s">
        <v>1431</v>
      </c>
      <c r="G407" s="767" t="s">
        <v>1447</v>
      </c>
      <c r="I407" s="1159" t="s">
        <v>1916</v>
      </c>
      <c r="J407" s="1159"/>
      <c r="K407" s="538">
        <v>42</v>
      </c>
      <c r="O407" s="538"/>
    </row>
    <row r="408" spans="1:15">
      <c r="A408" s="1130">
        <v>4</v>
      </c>
      <c r="B408" s="1184" t="s">
        <v>27</v>
      </c>
      <c r="C408" s="1181" t="s">
        <v>1478</v>
      </c>
      <c r="D408" s="1181"/>
      <c r="E408" s="1182">
        <v>2001</v>
      </c>
      <c r="F408" s="1181" t="s">
        <v>1477</v>
      </c>
      <c r="G408" s="1181" t="s">
        <v>1442</v>
      </c>
      <c r="I408" s="1159" t="s">
        <v>1917</v>
      </c>
      <c r="J408" s="1184"/>
      <c r="K408" s="538">
        <v>39</v>
      </c>
      <c r="O408" s="538"/>
    </row>
    <row r="409" spans="1:15">
      <c r="A409" s="1130">
        <v>5</v>
      </c>
      <c r="B409" s="1207" t="s">
        <v>27</v>
      </c>
      <c r="C409" s="1205" t="s">
        <v>1423</v>
      </c>
      <c r="D409" s="1204"/>
      <c r="E409" s="1206">
        <v>2002</v>
      </c>
      <c r="F409" s="1205" t="s">
        <v>1431</v>
      </c>
      <c r="G409" s="767" t="s">
        <v>1447</v>
      </c>
      <c r="I409" s="1159" t="s">
        <v>1911</v>
      </c>
      <c r="J409" s="1159"/>
      <c r="K409" s="538">
        <v>36</v>
      </c>
      <c r="O409" s="538"/>
    </row>
    <row r="410" spans="1:15">
      <c r="A410" s="1130">
        <v>6</v>
      </c>
      <c r="B410" s="1207" t="s">
        <v>27</v>
      </c>
      <c r="C410" s="1205" t="s">
        <v>1487</v>
      </c>
      <c r="D410" s="1204"/>
      <c r="E410" s="1206">
        <v>2003</v>
      </c>
      <c r="F410" s="1205" t="s">
        <v>1438</v>
      </c>
      <c r="G410" s="1181" t="s">
        <v>1442</v>
      </c>
      <c r="I410" s="1159" t="s">
        <v>1906</v>
      </c>
      <c r="J410" s="1159"/>
      <c r="K410" s="538">
        <v>33</v>
      </c>
      <c r="O410" s="538"/>
    </row>
    <row r="411" spans="1:15">
      <c r="A411" s="1130">
        <v>7</v>
      </c>
      <c r="B411" s="1184" t="s">
        <v>27</v>
      </c>
      <c r="C411" s="1167" t="s">
        <v>1536</v>
      </c>
      <c r="D411" s="1157"/>
      <c r="E411" s="1194">
        <v>2003</v>
      </c>
      <c r="F411" s="1190" t="s">
        <v>1443</v>
      </c>
      <c r="G411" s="1181" t="s">
        <v>1442</v>
      </c>
      <c r="I411" s="1159" t="s">
        <v>1910</v>
      </c>
      <c r="J411" s="1163"/>
      <c r="K411" s="538">
        <v>30</v>
      </c>
      <c r="O411" s="538"/>
    </row>
    <row r="412" spans="1:15">
      <c r="A412" s="1130">
        <v>8</v>
      </c>
      <c r="B412" s="1177" t="s">
        <v>15</v>
      </c>
      <c r="C412" s="1205" t="s">
        <v>1476</v>
      </c>
      <c r="D412" s="1157"/>
      <c r="E412" s="1206">
        <v>2001</v>
      </c>
      <c r="F412" s="1205" t="s">
        <v>1452</v>
      </c>
      <c r="G412" s="767" t="s">
        <v>1465</v>
      </c>
      <c r="I412" s="1159" t="s">
        <v>1914</v>
      </c>
      <c r="J412" s="1160"/>
      <c r="K412" s="538">
        <v>27</v>
      </c>
      <c r="O412" s="538"/>
    </row>
    <row r="413" spans="1:15">
      <c r="A413" s="1130">
        <v>9</v>
      </c>
      <c r="B413" s="1207" t="s">
        <v>25</v>
      </c>
      <c r="C413" s="1205" t="s">
        <v>654</v>
      </c>
      <c r="D413" s="1204"/>
      <c r="E413" s="1206">
        <v>1999</v>
      </c>
      <c r="F413" s="1205" t="s">
        <v>1431</v>
      </c>
      <c r="G413" s="767" t="s">
        <v>1447</v>
      </c>
      <c r="I413" s="1159" t="s">
        <v>1912</v>
      </c>
      <c r="J413" s="1159"/>
      <c r="K413" s="538">
        <v>24</v>
      </c>
      <c r="O413" s="538"/>
    </row>
    <row r="414" spans="1:15">
      <c r="A414" s="1130">
        <v>10</v>
      </c>
      <c r="B414" s="1207" t="s">
        <v>27</v>
      </c>
      <c r="C414" s="1205" t="s">
        <v>1403</v>
      </c>
      <c r="D414" s="1204"/>
      <c r="E414" s="1206">
        <v>1998</v>
      </c>
      <c r="F414" s="1205" t="s">
        <v>1431</v>
      </c>
      <c r="G414" s="767" t="s">
        <v>1447</v>
      </c>
      <c r="I414" s="1159" t="s">
        <v>1908</v>
      </c>
      <c r="J414" s="1159"/>
      <c r="K414" s="538">
        <v>22</v>
      </c>
      <c r="O414" s="538"/>
    </row>
    <row r="415" spans="1:15">
      <c r="A415" s="1130">
        <v>11</v>
      </c>
      <c r="B415" s="1207" t="s">
        <v>27</v>
      </c>
      <c r="C415" s="1205" t="s">
        <v>1426</v>
      </c>
      <c r="D415" s="1204"/>
      <c r="E415" s="1206">
        <v>2000</v>
      </c>
      <c r="F415" s="1205" t="s">
        <v>1431</v>
      </c>
      <c r="G415" s="767" t="s">
        <v>1447</v>
      </c>
      <c r="I415" s="1159" t="s">
        <v>1902</v>
      </c>
      <c r="J415" s="1159"/>
      <c r="K415" s="538">
        <v>20</v>
      </c>
      <c r="O415" s="538"/>
    </row>
    <row r="416" spans="1:15">
      <c r="A416" s="1130">
        <v>12</v>
      </c>
      <c r="B416" s="1207" t="s">
        <v>1</v>
      </c>
      <c r="C416" s="1167" t="s">
        <v>1537</v>
      </c>
      <c r="D416" s="1157"/>
      <c r="E416" s="1194">
        <v>2003</v>
      </c>
      <c r="F416" s="1190" t="s">
        <v>1443</v>
      </c>
      <c r="G416" s="1181" t="s">
        <v>1442</v>
      </c>
      <c r="I416" s="1159" t="s">
        <v>1897</v>
      </c>
      <c r="J416" s="1163"/>
      <c r="K416" s="538">
        <v>18</v>
      </c>
      <c r="O416" s="538"/>
    </row>
    <row r="417" spans="1:15">
      <c r="A417" s="1130">
        <v>13</v>
      </c>
      <c r="B417" s="1207" t="s">
        <v>1</v>
      </c>
      <c r="C417" s="1205" t="s">
        <v>1432</v>
      </c>
      <c r="D417" s="1204"/>
      <c r="E417" s="1206">
        <v>2003</v>
      </c>
      <c r="F417" s="1205" t="s">
        <v>1431</v>
      </c>
      <c r="G417" s="767" t="s">
        <v>1447</v>
      </c>
      <c r="I417" s="1159" t="s">
        <v>1900</v>
      </c>
      <c r="J417" s="1159"/>
      <c r="K417" s="1203" t="s">
        <v>12</v>
      </c>
      <c r="O417" s="538"/>
    </row>
    <row r="418" spans="1:15">
      <c r="A418" s="1130"/>
      <c r="B418" s="1184"/>
      <c r="C418" s="1181"/>
      <c r="D418" s="1181"/>
      <c r="E418" s="1182"/>
      <c r="F418" s="1181"/>
      <c r="G418" s="1181"/>
      <c r="I418" s="1159"/>
      <c r="J418" s="1184"/>
      <c r="K418" s="1160"/>
      <c r="O418" s="538"/>
    </row>
    <row r="419" spans="1:15">
      <c r="A419" s="1130"/>
      <c r="B419" s="1207"/>
      <c r="C419" s="524" t="s">
        <v>1839</v>
      </c>
      <c r="D419" s="542"/>
      <c r="E419" s="542"/>
      <c r="F419" s="542"/>
      <c r="G419" s="542"/>
      <c r="I419" s="1159"/>
      <c r="J419" s="766"/>
      <c r="K419" s="1160"/>
      <c r="O419" s="538"/>
    </row>
    <row r="420" spans="1:15" ht="18">
      <c r="A420" s="1130"/>
      <c r="B420" s="1207"/>
      <c r="C420" s="1205"/>
      <c r="D420" s="1204"/>
      <c r="E420" s="1129"/>
      <c r="F420" s="1205"/>
      <c r="G420" s="767"/>
      <c r="I420" s="1159"/>
      <c r="J420" s="766"/>
      <c r="K420" s="1160"/>
      <c r="O420" s="538"/>
    </row>
    <row r="421" spans="1:15">
      <c r="A421" s="1130">
        <v>1</v>
      </c>
      <c r="B421" s="1202" t="s">
        <v>27</v>
      </c>
      <c r="C421" s="1205" t="s">
        <v>1349</v>
      </c>
      <c r="D421" s="1204"/>
      <c r="E421" s="1206">
        <v>2003</v>
      </c>
      <c r="F421" s="1205" t="s">
        <v>1431</v>
      </c>
      <c r="G421" s="767" t="s">
        <v>1447</v>
      </c>
      <c r="I421" s="1159" t="s">
        <v>1945</v>
      </c>
      <c r="J421" s="1159"/>
      <c r="K421" s="538">
        <v>50</v>
      </c>
    </row>
    <row r="422" spans="1:15">
      <c r="A422" s="1130">
        <v>2</v>
      </c>
      <c r="B422" s="1207" t="s">
        <v>27</v>
      </c>
      <c r="C422" s="1205" t="s">
        <v>1408</v>
      </c>
      <c r="D422" s="1204"/>
      <c r="E422" s="1206">
        <v>2001</v>
      </c>
      <c r="F422" s="1205" t="s">
        <v>1431</v>
      </c>
      <c r="G422" s="767" t="s">
        <v>1447</v>
      </c>
      <c r="I422" s="1159" t="s">
        <v>1946</v>
      </c>
      <c r="J422" s="1159"/>
      <c r="K422" s="538">
        <v>46</v>
      </c>
    </row>
    <row r="423" spans="1:15">
      <c r="A423" s="1130">
        <v>3</v>
      </c>
      <c r="B423" s="1207" t="s">
        <v>29</v>
      </c>
      <c r="C423" s="1205" t="s">
        <v>1496</v>
      </c>
      <c r="D423" s="1204"/>
      <c r="E423" s="1206">
        <v>2001</v>
      </c>
      <c r="F423" s="1205" t="s">
        <v>1431</v>
      </c>
      <c r="G423" s="767" t="s">
        <v>1447</v>
      </c>
      <c r="I423" s="1159" t="s">
        <v>1942</v>
      </c>
      <c r="J423" s="1159"/>
      <c r="K423" s="538">
        <v>42</v>
      </c>
    </row>
    <row r="424" spans="1:15">
      <c r="A424" s="1130">
        <v>4</v>
      </c>
      <c r="B424" s="1207" t="s">
        <v>27</v>
      </c>
      <c r="C424" s="1205" t="s">
        <v>1374</v>
      </c>
      <c r="D424" s="1204"/>
      <c r="E424" s="1206">
        <v>2003</v>
      </c>
      <c r="F424" s="1205" t="s">
        <v>1431</v>
      </c>
      <c r="G424" s="767" t="s">
        <v>1447</v>
      </c>
      <c r="I424" s="1159" t="s">
        <v>1890</v>
      </c>
      <c r="J424" s="1159"/>
      <c r="K424" s="538">
        <v>39</v>
      </c>
    </row>
    <row r="425" spans="1:15">
      <c r="A425" s="1130">
        <v>5</v>
      </c>
      <c r="B425" s="1207" t="s">
        <v>27</v>
      </c>
      <c r="C425" s="1205" t="s">
        <v>1417</v>
      </c>
      <c r="D425" s="1204"/>
      <c r="E425" s="1206">
        <v>2003</v>
      </c>
      <c r="F425" s="1205" t="s">
        <v>1433</v>
      </c>
      <c r="G425" s="767" t="s">
        <v>1447</v>
      </c>
      <c r="I425" s="1159" t="s">
        <v>1938</v>
      </c>
      <c r="J425" s="1159"/>
      <c r="K425" s="538">
        <v>36</v>
      </c>
    </row>
    <row r="426" spans="1:15">
      <c r="A426" s="1130">
        <v>6</v>
      </c>
      <c r="B426" s="1207" t="s">
        <v>13</v>
      </c>
      <c r="C426" s="1205" t="s">
        <v>1420</v>
      </c>
      <c r="D426" s="1204"/>
      <c r="E426" s="1206">
        <v>2002</v>
      </c>
      <c r="F426" s="1205" t="s">
        <v>1433</v>
      </c>
      <c r="G426" s="767" t="s">
        <v>1447</v>
      </c>
      <c r="I426" s="1159" t="s">
        <v>1927</v>
      </c>
      <c r="J426" s="1159"/>
      <c r="K426" s="538">
        <v>33</v>
      </c>
    </row>
    <row r="427" spans="1:15">
      <c r="A427" s="1130">
        <v>7</v>
      </c>
      <c r="B427" s="1207" t="s">
        <v>1</v>
      </c>
      <c r="C427" s="1167" t="s">
        <v>1509</v>
      </c>
      <c r="D427" s="1166"/>
      <c r="E427" s="1194">
        <v>2000</v>
      </c>
      <c r="F427" s="1190" t="s">
        <v>1443</v>
      </c>
      <c r="G427" s="767" t="s">
        <v>1442</v>
      </c>
      <c r="I427" s="1159" t="s">
        <v>1941</v>
      </c>
      <c r="J427" s="1163"/>
      <c r="K427" s="538">
        <v>30</v>
      </c>
    </row>
    <row r="428" spans="1:15">
      <c r="A428" s="1130">
        <v>8</v>
      </c>
      <c r="B428" s="1207" t="s">
        <v>1</v>
      </c>
      <c r="C428" s="1205" t="s">
        <v>1497</v>
      </c>
      <c r="D428" s="1204"/>
      <c r="E428" s="1206">
        <v>2002</v>
      </c>
      <c r="F428" s="1205" t="s">
        <v>1431</v>
      </c>
      <c r="G428" s="767" t="s">
        <v>1447</v>
      </c>
      <c r="I428" s="1159" t="s">
        <v>1931</v>
      </c>
      <c r="J428" s="1159"/>
      <c r="K428" s="1203" t="s">
        <v>12</v>
      </c>
    </row>
    <row r="429" spans="1:15">
      <c r="A429" s="1130">
        <v>9</v>
      </c>
      <c r="B429" s="1207" t="s">
        <v>1</v>
      </c>
      <c r="C429" s="1205" t="s">
        <v>1500</v>
      </c>
      <c r="D429" s="1204"/>
      <c r="E429" s="1206">
        <v>2003</v>
      </c>
      <c r="F429" s="1205" t="s">
        <v>1431</v>
      </c>
      <c r="G429" s="767" t="s">
        <v>1447</v>
      </c>
      <c r="I429" s="1159" t="s">
        <v>1918</v>
      </c>
      <c r="J429" s="1160"/>
      <c r="K429" s="1203" t="s">
        <v>12</v>
      </c>
    </row>
    <row r="430" spans="1:15">
      <c r="A430" s="1130">
        <v>10</v>
      </c>
      <c r="B430" s="1202" t="s">
        <v>29</v>
      </c>
      <c r="C430" s="1205" t="s">
        <v>1503</v>
      </c>
      <c r="D430" s="1204"/>
      <c r="E430" s="1206">
        <v>2002</v>
      </c>
      <c r="F430" s="17" t="s">
        <v>1502</v>
      </c>
      <c r="G430" s="767" t="s">
        <v>1442</v>
      </c>
      <c r="I430" s="1159" t="s">
        <v>1926</v>
      </c>
      <c r="J430" s="1159"/>
      <c r="K430" s="538">
        <v>27</v>
      </c>
      <c r="O430" s="538"/>
    </row>
    <row r="431" spans="1:15">
      <c r="A431" s="1130">
        <v>11</v>
      </c>
      <c r="B431" s="1207" t="s">
        <v>13</v>
      </c>
      <c r="C431" s="1205" t="s">
        <v>1499</v>
      </c>
      <c r="D431" s="1204"/>
      <c r="E431" s="1206">
        <v>2003</v>
      </c>
      <c r="F431" s="1205" t="s">
        <v>1431</v>
      </c>
      <c r="G431" s="767" t="s">
        <v>1447</v>
      </c>
      <c r="I431" s="1159" t="s">
        <v>1920</v>
      </c>
      <c r="J431" s="1159"/>
      <c r="K431" s="1203" t="s">
        <v>12</v>
      </c>
      <c r="O431" s="538"/>
    </row>
    <row r="432" spans="1:15">
      <c r="A432" s="1130">
        <v>12</v>
      </c>
      <c r="B432" s="1207" t="s">
        <v>29</v>
      </c>
      <c r="C432" s="1205" t="s">
        <v>1504</v>
      </c>
      <c r="D432" s="1204"/>
      <c r="E432" s="1206">
        <v>1997</v>
      </c>
      <c r="F432" s="1205" t="s">
        <v>1502</v>
      </c>
      <c r="G432" s="767" t="s">
        <v>1442</v>
      </c>
      <c r="I432" s="1159" t="s">
        <v>1930</v>
      </c>
      <c r="J432" s="1159"/>
      <c r="K432" s="538">
        <v>24</v>
      </c>
      <c r="O432" s="538"/>
    </row>
    <row r="433" spans="1:15">
      <c r="A433" s="1130"/>
      <c r="B433" s="1207" t="s">
        <v>27</v>
      </c>
      <c r="C433" s="1205" t="s">
        <v>1501</v>
      </c>
      <c r="D433" s="1204"/>
      <c r="E433" s="1206">
        <v>1998</v>
      </c>
      <c r="F433" s="1205" t="s">
        <v>1431</v>
      </c>
      <c r="G433" s="767" t="s">
        <v>1447</v>
      </c>
      <c r="I433" s="1159" t="s">
        <v>1622</v>
      </c>
      <c r="J433" s="1159"/>
      <c r="K433" s="1203" t="s">
        <v>12</v>
      </c>
      <c r="O433" s="538"/>
    </row>
    <row r="434" spans="1:15" ht="18">
      <c r="A434" s="1130"/>
      <c r="B434" s="1207"/>
      <c r="C434" s="1330"/>
      <c r="D434" s="1330"/>
      <c r="E434" s="1129"/>
      <c r="F434" s="1205"/>
      <c r="G434" s="767"/>
      <c r="I434" s="1159"/>
      <c r="J434" s="1210"/>
      <c r="K434" s="1159"/>
      <c r="O434" s="538"/>
    </row>
    <row r="435" spans="1:15">
      <c r="A435" s="1130"/>
      <c r="B435" s="1168"/>
      <c r="C435" s="524" t="s">
        <v>1845</v>
      </c>
      <c r="D435" s="525"/>
      <c r="E435" s="526"/>
      <c r="F435" s="524"/>
      <c r="G435" s="524"/>
      <c r="I435" s="1159"/>
      <c r="J435" s="766"/>
      <c r="K435" s="1159"/>
      <c r="O435" s="538"/>
    </row>
    <row r="436" spans="1:15">
      <c r="A436" s="1130"/>
      <c r="B436" s="1207"/>
      <c r="C436" s="1205"/>
      <c r="D436" s="1204"/>
      <c r="E436" s="1206"/>
      <c r="F436" s="1205"/>
      <c r="G436" s="767"/>
      <c r="I436" s="1159"/>
      <c r="J436" s="1163"/>
      <c r="K436" s="1163"/>
      <c r="O436" s="538"/>
    </row>
    <row r="437" spans="1:15">
      <c r="A437" s="1130">
        <v>1</v>
      </c>
      <c r="B437" s="1207" t="s">
        <v>27</v>
      </c>
      <c r="C437" s="1205" t="s">
        <v>1541</v>
      </c>
      <c r="D437" s="1204"/>
      <c r="E437" s="1206">
        <v>2003</v>
      </c>
      <c r="F437" s="1330" t="s">
        <v>1542</v>
      </c>
      <c r="G437" s="767" t="s">
        <v>1442</v>
      </c>
      <c r="I437" s="1159" t="s">
        <v>1950</v>
      </c>
      <c r="J437" s="1159"/>
      <c r="K437" s="538">
        <v>50</v>
      </c>
      <c r="O437" s="538"/>
    </row>
    <row r="438" spans="1:15">
      <c r="A438" s="1130">
        <v>2</v>
      </c>
      <c r="B438" s="1207" t="s">
        <v>27</v>
      </c>
      <c r="C438" s="1205" t="s">
        <v>595</v>
      </c>
      <c r="D438" s="1204"/>
      <c r="E438" s="1206">
        <v>2000</v>
      </c>
      <c r="F438" s="1330" t="s">
        <v>1431</v>
      </c>
      <c r="G438" s="766" t="s">
        <v>1447</v>
      </c>
      <c r="I438" s="1159" t="s">
        <v>1948</v>
      </c>
      <c r="J438" s="1160"/>
      <c r="K438" s="538">
        <v>46</v>
      </c>
      <c r="O438" s="538"/>
    </row>
    <row r="439" spans="1:15">
      <c r="A439" s="1130">
        <v>3</v>
      </c>
      <c r="B439" s="1207" t="s">
        <v>25</v>
      </c>
      <c r="C439" s="1205" t="s">
        <v>1486</v>
      </c>
      <c r="D439" s="1204"/>
      <c r="E439" s="1206">
        <v>1997</v>
      </c>
      <c r="F439" s="1330" t="s">
        <v>1463</v>
      </c>
      <c r="G439" s="1448" t="s">
        <v>1442</v>
      </c>
      <c r="I439" s="1159" t="s">
        <v>1949</v>
      </c>
      <c r="J439" s="1160"/>
      <c r="K439" s="538">
        <v>42</v>
      </c>
      <c r="O439" s="538"/>
    </row>
    <row r="440" spans="1:15">
      <c r="A440" s="1130">
        <v>4</v>
      </c>
      <c r="B440" s="1207" t="s">
        <v>29</v>
      </c>
      <c r="C440" s="1167" t="s">
        <v>1483</v>
      </c>
      <c r="D440" s="1166"/>
      <c r="E440" s="1194">
        <v>2003</v>
      </c>
      <c r="F440" s="1313" t="s">
        <v>1443</v>
      </c>
      <c r="G440" s="1448" t="s">
        <v>1442</v>
      </c>
      <c r="I440" s="1159" t="s">
        <v>1952</v>
      </c>
      <c r="J440" s="1163"/>
      <c r="K440" s="538">
        <v>39</v>
      </c>
      <c r="O440" s="538"/>
    </row>
    <row r="441" spans="1:15">
      <c r="A441" s="1130">
        <v>5</v>
      </c>
      <c r="B441" s="1207" t="s">
        <v>1</v>
      </c>
      <c r="C441" s="1205" t="s">
        <v>1435</v>
      </c>
      <c r="D441" s="1204"/>
      <c r="E441" s="1206">
        <v>2003</v>
      </c>
      <c r="F441" s="1330" t="s">
        <v>1433</v>
      </c>
      <c r="G441" s="766" t="s">
        <v>1447</v>
      </c>
      <c r="I441" s="1159" t="s">
        <v>1947</v>
      </c>
      <c r="J441" s="1160"/>
      <c r="K441" s="538">
        <v>36</v>
      </c>
      <c r="O441" s="538"/>
    </row>
    <row r="442" spans="1:15">
      <c r="A442" s="1130">
        <v>6</v>
      </c>
      <c r="B442" s="1207" t="s">
        <v>1</v>
      </c>
      <c r="C442" s="1205" t="s">
        <v>1364</v>
      </c>
      <c r="D442" s="1204"/>
      <c r="E442" s="1206">
        <v>2000</v>
      </c>
      <c r="F442" s="1330" t="s">
        <v>1433</v>
      </c>
      <c r="G442" s="766" t="s">
        <v>1447</v>
      </c>
      <c r="I442" s="1159" t="s">
        <v>1954</v>
      </c>
      <c r="J442" s="1160"/>
      <c r="K442" s="538">
        <v>33</v>
      </c>
      <c r="O442" s="538"/>
    </row>
    <row r="443" spans="1:15">
      <c r="A443" s="1130">
        <v>7</v>
      </c>
      <c r="B443" s="1207" t="s">
        <v>1</v>
      </c>
      <c r="C443" s="1167" t="s">
        <v>1436</v>
      </c>
      <c r="D443" s="1166"/>
      <c r="E443" s="1194">
        <v>2003</v>
      </c>
      <c r="F443" s="1313" t="s">
        <v>1443</v>
      </c>
      <c r="G443" s="1448" t="s">
        <v>1442</v>
      </c>
      <c r="I443" s="1159" t="s">
        <v>1953</v>
      </c>
      <c r="J443" s="1163"/>
      <c r="K443" s="538">
        <v>30</v>
      </c>
    </row>
    <row r="444" spans="1:15">
      <c r="A444" s="1130"/>
      <c r="B444" s="1207"/>
      <c r="C444" s="1210"/>
      <c r="D444" s="1210"/>
      <c r="E444" s="1210"/>
      <c r="F444" s="1449"/>
      <c r="G444" s="767"/>
      <c r="I444" s="1159"/>
      <c r="J444" s="1163"/>
      <c r="K444" s="1210"/>
    </row>
    <row r="445" spans="1:15">
      <c r="A445" s="1130"/>
      <c r="B445" s="1207"/>
      <c r="C445" s="524" t="s">
        <v>1846</v>
      </c>
      <c r="D445" s="525"/>
      <c r="E445" s="526"/>
      <c r="F445" s="524"/>
      <c r="G445" s="524"/>
      <c r="I445" s="1159"/>
      <c r="J445" s="1159"/>
      <c r="K445" s="1210"/>
    </row>
    <row r="446" spans="1:15">
      <c r="A446" s="1130"/>
      <c r="B446" s="1207"/>
      <c r="C446" s="524"/>
      <c r="D446" s="525"/>
      <c r="E446" s="526"/>
      <c r="F446" s="524"/>
      <c r="G446" s="524"/>
      <c r="I446" s="1159"/>
      <c r="J446" s="1159"/>
      <c r="K446" s="1210"/>
    </row>
    <row r="447" spans="1:15">
      <c r="A447" s="1130">
        <v>1</v>
      </c>
      <c r="B447" s="1207" t="s">
        <v>27</v>
      </c>
      <c r="C447" s="1205" t="s">
        <v>1388</v>
      </c>
      <c r="D447" s="1204"/>
      <c r="E447" s="1206">
        <v>2002</v>
      </c>
      <c r="F447" s="1330" t="s">
        <v>1431</v>
      </c>
      <c r="G447" s="766" t="s">
        <v>1447</v>
      </c>
      <c r="I447" s="1159" t="s">
        <v>1959</v>
      </c>
      <c r="J447" s="1159"/>
      <c r="K447" s="538">
        <v>50</v>
      </c>
    </row>
    <row r="448" spans="1:15">
      <c r="A448" s="1130">
        <v>2</v>
      </c>
      <c r="B448" s="1207" t="s">
        <v>29</v>
      </c>
      <c r="C448" s="1167" t="s">
        <v>1740</v>
      </c>
      <c r="D448" s="1155"/>
      <c r="E448" s="1194">
        <v>1999</v>
      </c>
      <c r="F448" s="1313" t="s">
        <v>1443</v>
      </c>
      <c r="G448" s="1448" t="s">
        <v>1442</v>
      </c>
      <c r="I448" s="1159" t="s">
        <v>1956</v>
      </c>
      <c r="J448" s="1209"/>
      <c r="K448" s="538">
        <v>46</v>
      </c>
    </row>
    <row r="449" spans="1:11">
      <c r="A449" s="1130">
        <v>3</v>
      </c>
      <c r="B449" s="1207" t="s">
        <v>1</v>
      </c>
      <c r="C449" s="1167" t="s">
        <v>1509</v>
      </c>
      <c r="D449" s="1155"/>
      <c r="E449" s="1194">
        <v>2000</v>
      </c>
      <c r="F449" s="1313" t="s">
        <v>1443</v>
      </c>
      <c r="G449" s="1448" t="s">
        <v>1442</v>
      </c>
      <c r="I449" s="1159" t="s">
        <v>1961</v>
      </c>
      <c r="J449" s="1163"/>
      <c r="K449" s="538">
        <v>42</v>
      </c>
    </row>
    <row r="450" spans="1:11">
      <c r="A450" s="1130">
        <v>4</v>
      </c>
      <c r="B450" s="1207" t="s">
        <v>29</v>
      </c>
      <c r="C450" s="1450" t="s">
        <v>1391</v>
      </c>
      <c r="D450" s="1193"/>
      <c r="E450" s="1206">
        <v>2003</v>
      </c>
      <c r="F450" s="1330" t="s">
        <v>1433</v>
      </c>
      <c r="G450" s="766" t="s">
        <v>1447</v>
      </c>
      <c r="I450" s="1159" t="s">
        <v>1962</v>
      </c>
      <c r="J450" s="1163"/>
      <c r="K450" s="538">
        <v>39</v>
      </c>
    </row>
    <row r="451" spans="1:11">
      <c r="A451" s="1130">
        <v>5</v>
      </c>
      <c r="B451" s="1207" t="s">
        <v>13</v>
      </c>
      <c r="C451" s="1167" t="s">
        <v>1533</v>
      </c>
      <c r="D451" s="1155"/>
      <c r="E451" s="1194">
        <v>2001</v>
      </c>
      <c r="F451" s="1313" t="s">
        <v>1443</v>
      </c>
      <c r="G451" s="1448" t="s">
        <v>1442</v>
      </c>
      <c r="I451" s="1159" t="s">
        <v>1955</v>
      </c>
      <c r="J451" s="1163"/>
      <c r="K451" s="538">
        <v>36</v>
      </c>
    </row>
    <row r="452" spans="1:11">
      <c r="A452" s="1210"/>
      <c r="B452" s="1210"/>
      <c r="C452" s="1210"/>
      <c r="D452" s="1451"/>
      <c r="E452" s="1155"/>
      <c r="F452" s="1155"/>
      <c r="G452" s="1210"/>
      <c r="I452" s="1159"/>
      <c r="J452" s="1210"/>
      <c r="K452" s="1210"/>
    </row>
    <row r="453" spans="1:11">
      <c r="A453" s="1130"/>
      <c r="B453" s="1210"/>
      <c r="C453" s="767"/>
      <c r="D453" s="1204"/>
      <c r="E453" s="1203"/>
      <c r="F453" s="1210"/>
      <c r="G453" s="1330"/>
      <c r="I453" s="1159"/>
      <c r="J453" s="1210"/>
      <c r="K453" s="1210"/>
    </row>
    <row r="454" spans="1:11">
      <c r="A454" s="1498"/>
      <c r="B454" s="1485" t="s">
        <v>1975</v>
      </c>
      <c r="C454" s="1499"/>
      <c r="D454" s="1500"/>
      <c r="E454" s="1300"/>
      <c r="F454" s="1501"/>
      <c r="G454" s="294"/>
      <c r="I454" s="1159"/>
      <c r="J454" s="766"/>
      <c r="K454" s="1210"/>
    </row>
    <row r="455" spans="1:11">
      <c r="A455" s="1130"/>
      <c r="B455" s="1236"/>
      <c r="C455" s="1468"/>
      <c r="D455" s="287"/>
      <c r="E455" s="1237"/>
      <c r="F455" s="1238"/>
      <c r="G455" s="1238"/>
      <c r="I455" s="1159"/>
      <c r="J455" s="539"/>
      <c r="K455" s="1464"/>
    </row>
    <row r="456" spans="1:11">
      <c r="A456" s="1130">
        <v>1</v>
      </c>
      <c r="B456" s="1236"/>
      <c r="C456" s="1192"/>
      <c r="D456" s="1185"/>
      <c r="E456" s="1237"/>
      <c r="F456" s="1460" t="s">
        <v>1857</v>
      </c>
      <c r="G456" s="1252"/>
      <c r="I456" s="1159" t="s">
        <v>1966</v>
      </c>
      <c r="J456" s="1469"/>
      <c r="K456" s="538">
        <v>50</v>
      </c>
    </row>
    <row r="457" spans="1:11">
      <c r="A457" s="1130"/>
      <c r="B457" s="1235" t="s">
        <v>25</v>
      </c>
      <c r="C457" s="1468" t="s">
        <v>1858</v>
      </c>
      <c r="D457" s="1238"/>
      <c r="E457" s="1237">
        <v>2003</v>
      </c>
      <c r="F457" s="1470"/>
      <c r="G457" s="539"/>
      <c r="I457" s="1159">
        <v>44.12</v>
      </c>
      <c r="J457" s="751"/>
      <c r="K457" s="1210"/>
    </row>
    <row r="458" spans="1:11">
      <c r="A458" s="1210"/>
      <c r="B458" s="586" t="s">
        <v>27</v>
      </c>
      <c r="C458" s="1252" t="s">
        <v>1536</v>
      </c>
      <c r="D458" s="1252"/>
      <c r="E458" s="1235">
        <v>2003</v>
      </c>
      <c r="F458" s="1431"/>
      <c r="G458" s="15"/>
      <c r="I458" s="1159"/>
      <c r="J458" s="539"/>
      <c r="K458" s="1239"/>
    </row>
    <row r="459" spans="1:11">
      <c r="A459" s="1130"/>
      <c r="B459" s="586" t="s">
        <v>27</v>
      </c>
      <c r="C459" s="1468" t="s">
        <v>1549</v>
      </c>
      <c r="D459" s="1238"/>
      <c r="E459" s="1237">
        <v>2001</v>
      </c>
      <c r="F459" s="15"/>
      <c r="G459" s="1238"/>
      <c r="I459" s="1159"/>
      <c r="J459" s="539"/>
      <c r="K459" s="1239"/>
    </row>
    <row r="460" spans="1:11">
      <c r="A460" s="1130"/>
      <c r="B460" s="1236" t="s">
        <v>23</v>
      </c>
      <c r="C460" s="287" t="s">
        <v>1548</v>
      </c>
      <c r="D460" s="1185"/>
      <c r="E460" s="1237">
        <v>1999</v>
      </c>
      <c r="F460" s="1238"/>
      <c r="G460" s="1238"/>
      <c r="I460" s="1159"/>
      <c r="J460" s="539"/>
      <c r="K460" s="1464"/>
    </row>
    <row r="461" spans="1:11">
      <c r="A461" s="1130"/>
      <c r="B461" s="1325"/>
      <c r="C461" s="287"/>
      <c r="D461" s="1185"/>
      <c r="E461" s="1237"/>
      <c r="F461" s="1459"/>
      <c r="G461" s="1238"/>
      <c r="I461" s="1159"/>
      <c r="J461" s="539"/>
      <c r="K461" s="1239"/>
    </row>
    <row r="462" spans="1:11">
      <c r="A462" s="1130">
        <v>2</v>
      </c>
      <c r="B462" s="1236"/>
      <c r="C462" s="1468"/>
      <c r="D462" s="287"/>
      <c r="E462" s="1237"/>
      <c r="F462" s="1236" t="s">
        <v>1431</v>
      </c>
      <c r="G462" s="1238"/>
      <c r="I462" s="1159" t="s">
        <v>1967</v>
      </c>
      <c r="J462" s="539"/>
      <c r="K462" s="538">
        <v>46</v>
      </c>
    </row>
    <row r="463" spans="1:11">
      <c r="A463" s="1130"/>
      <c r="B463" s="1236" t="s">
        <v>27</v>
      </c>
      <c r="C463" s="1192" t="s">
        <v>567</v>
      </c>
      <c r="D463" s="1185"/>
      <c r="E463" s="1237">
        <v>1999</v>
      </c>
      <c r="F463" s="1238"/>
      <c r="G463" s="1238"/>
      <c r="I463" s="1159">
        <v>45.11</v>
      </c>
      <c r="J463" s="1210"/>
      <c r="K463" s="1239"/>
    </row>
    <row r="464" spans="1:11">
      <c r="A464" s="1130"/>
      <c r="B464" s="1236" t="s">
        <v>27</v>
      </c>
      <c r="C464" s="287" t="s">
        <v>595</v>
      </c>
      <c r="D464" s="1185"/>
      <c r="E464" s="1237">
        <v>2000</v>
      </c>
      <c r="F464" s="1238"/>
      <c r="G464" s="1252"/>
      <c r="I464" s="1159"/>
      <c r="J464" s="1469"/>
      <c r="K464" s="1241"/>
    </row>
    <row r="465" spans="1:11">
      <c r="A465" s="1130"/>
      <c r="B465" s="1236" t="s">
        <v>27</v>
      </c>
      <c r="C465" s="287" t="s">
        <v>1359</v>
      </c>
      <c r="D465" s="1185"/>
      <c r="E465" s="1237">
        <v>2003</v>
      </c>
      <c r="F465" s="1252"/>
      <c r="G465" s="1210"/>
      <c r="I465" s="1159"/>
      <c r="J465" s="537"/>
      <c r="K465" s="1210"/>
    </row>
    <row r="466" spans="1:11">
      <c r="A466" s="1210"/>
      <c r="B466" s="1236" t="s">
        <v>27</v>
      </c>
      <c r="C466" s="1252" t="s">
        <v>1859</v>
      </c>
      <c r="D466" s="1252"/>
      <c r="E466" s="1235">
        <v>2002</v>
      </c>
      <c r="F466" s="1210"/>
      <c r="G466" s="1210"/>
      <c r="I466" s="1159"/>
      <c r="J466" s="537"/>
      <c r="K466" s="1210"/>
    </row>
    <row r="467" spans="1:11">
      <c r="A467" s="1210"/>
      <c r="B467" s="1210"/>
      <c r="C467" s="1210"/>
      <c r="D467" s="1210"/>
      <c r="E467" s="1210"/>
      <c r="F467" s="1210"/>
      <c r="G467" s="1238"/>
      <c r="I467" s="1159"/>
      <c r="J467" s="1210"/>
      <c r="K467" s="1464"/>
    </row>
    <row r="468" spans="1:11">
      <c r="A468" s="1130">
        <v>3</v>
      </c>
      <c r="B468" s="1236"/>
      <c r="C468" s="1455"/>
      <c r="D468" s="1185"/>
      <c r="E468" s="1334"/>
      <c r="F468" s="1236" t="s">
        <v>1433</v>
      </c>
      <c r="G468" s="1457"/>
      <c r="I468" s="1159" t="s">
        <v>1968</v>
      </c>
      <c r="J468" s="539"/>
      <c r="K468" s="538">
        <v>42</v>
      </c>
    </row>
    <row r="469" spans="1:11">
      <c r="A469" s="1130"/>
      <c r="B469" s="586" t="s">
        <v>27</v>
      </c>
      <c r="C469" s="287" t="s">
        <v>666</v>
      </c>
      <c r="D469" s="1185"/>
      <c r="E469" s="1237">
        <v>2003</v>
      </c>
      <c r="F469" s="1457"/>
      <c r="G469" s="1457"/>
      <c r="I469" s="1159">
        <v>44.32</v>
      </c>
      <c r="J469" s="539"/>
      <c r="K469" s="90"/>
    </row>
    <row r="470" spans="1:11">
      <c r="A470" s="1130"/>
      <c r="B470" s="1236" t="s">
        <v>29</v>
      </c>
      <c r="C470" s="1455" t="s">
        <v>1414</v>
      </c>
      <c r="D470" s="1185"/>
      <c r="E470" s="1334">
        <v>2001</v>
      </c>
      <c r="F470" s="1238"/>
      <c r="G470" s="1457"/>
      <c r="I470" s="1159"/>
      <c r="J470" s="539"/>
      <c r="K470" s="90"/>
    </row>
    <row r="471" spans="1:11">
      <c r="A471" s="1130"/>
      <c r="B471" s="1236" t="s">
        <v>1</v>
      </c>
      <c r="C471" s="287" t="s">
        <v>1524</v>
      </c>
      <c r="D471" s="1185"/>
      <c r="E471" s="1237">
        <v>2003</v>
      </c>
      <c r="F471" s="1467"/>
      <c r="G471" s="1238"/>
      <c r="I471" s="1159"/>
      <c r="J471" s="539"/>
      <c r="K471" s="1464"/>
    </row>
    <row r="472" spans="1:11">
      <c r="A472" s="1130"/>
      <c r="B472" s="1325" t="s">
        <v>29</v>
      </c>
      <c r="C472" s="1456" t="s">
        <v>1409</v>
      </c>
      <c r="D472" s="753"/>
      <c r="E472" s="1444">
        <v>2003</v>
      </c>
      <c r="F472" s="1459"/>
      <c r="G472" s="1238"/>
      <c r="I472" s="1159"/>
      <c r="J472" s="539"/>
      <c r="K472" s="1239"/>
    </row>
    <row r="473" spans="1:11" ht="18">
      <c r="A473" s="1130"/>
      <c r="B473" s="1158"/>
      <c r="C473" s="1210"/>
      <c r="D473" s="1210"/>
      <c r="E473" s="1129"/>
      <c r="F473" s="27"/>
      <c r="G473" s="1330"/>
      <c r="I473" s="1159"/>
      <c r="J473" s="1210"/>
      <c r="K473" s="1156"/>
    </row>
    <row r="474" spans="1:11">
      <c r="A474" s="1498"/>
      <c r="B474" s="1485" t="s">
        <v>1974</v>
      </c>
      <c r="C474" s="1499"/>
      <c r="D474" s="1500"/>
      <c r="E474" s="1300"/>
      <c r="F474" s="1501"/>
      <c r="G474" s="294"/>
      <c r="I474" s="1159"/>
      <c r="J474" s="766"/>
      <c r="K474" s="1210"/>
    </row>
    <row r="476" spans="1:11">
      <c r="A476" s="1384">
        <v>1</v>
      </c>
      <c r="B476" s="1383"/>
      <c r="C476" s="1384"/>
      <c r="D476" s="1384"/>
      <c r="E476" s="1383"/>
      <c r="F476" s="1383" t="s">
        <v>1443</v>
      </c>
      <c r="G476" s="1377"/>
      <c r="H476" s="1495"/>
      <c r="I476" s="1424" t="s">
        <v>1969</v>
      </c>
      <c r="J476" s="1383"/>
      <c r="K476" s="1383">
        <v>50</v>
      </c>
    </row>
    <row r="477" spans="1:11">
      <c r="A477" s="1130"/>
      <c r="B477" s="1236" t="s">
        <v>27</v>
      </c>
      <c r="C477" s="539" t="s">
        <v>1860</v>
      </c>
      <c r="D477" s="539"/>
      <c r="E477" s="1237">
        <v>2003</v>
      </c>
      <c r="F477" s="1236"/>
      <c r="G477" s="1236"/>
      <c r="I477" s="1159">
        <v>39.450000000000003</v>
      </c>
      <c r="J477" s="538"/>
      <c r="K477" s="1464"/>
    </row>
    <row r="478" spans="1:11">
      <c r="A478" s="1130"/>
      <c r="B478" s="1236" t="s">
        <v>27</v>
      </c>
      <c r="C478" s="287" t="s">
        <v>1861</v>
      </c>
      <c r="D478" s="1185"/>
      <c r="E478" s="1237">
        <v>2001</v>
      </c>
      <c r="F478" s="1460"/>
      <c r="G478" s="1236"/>
      <c r="I478" s="1159"/>
      <c r="J478" s="538"/>
      <c r="K478" s="90"/>
    </row>
    <row r="479" spans="1:11">
      <c r="A479" s="1130"/>
      <c r="B479" s="1236" t="s">
        <v>27</v>
      </c>
      <c r="C479" s="1238" t="s">
        <v>1862</v>
      </c>
      <c r="D479" s="1238"/>
      <c r="E479" s="1237">
        <v>2001</v>
      </c>
      <c r="F479" s="1236"/>
      <c r="G479" s="1236"/>
      <c r="I479" s="1159"/>
      <c r="J479" s="538"/>
      <c r="K479" s="90"/>
    </row>
    <row r="480" spans="1:11">
      <c r="A480" s="1130"/>
      <c r="B480" s="1236" t="s">
        <v>27</v>
      </c>
      <c r="C480" s="287" t="s">
        <v>1863</v>
      </c>
      <c r="D480" s="1185"/>
      <c r="E480" s="1237">
        <v>2003</v>
      </c>
      <c r="F480" s="1236"/>
      <c r="G480" s="1236"/>
      <c r="I480" s="1159"/>
      <c r="J480" s="538"/>
      <c r="K480" s="90"/>
    </row>
    <row r="481" spans="1:11">
      <c r="A481" s="1130"/>
      <c r="B481" s="1236"/>
      <c r="C481" s="287"/>
      <c r="D481" s="1185"/>
      <c r="E481" s="1237"/>
      <c r="F481" s="1236"/>
      <c r="G481" s="1236"/>
      <c r="I481" s="1159"/>
      <c r="J481" s="538"/>
      <c r="K481" s="90"/>
    </row>
    <row r="482" spans="1:11">
      <c r="A482" s="1335">
        <v>2</v>
      </c>
      <c r="B482" s="1377"/>
      <c r="C482" s="1378"/>
      <c r="D482" s="1379"/>
      <c r="E482" s="1380"/>
      <c r="F482" s="1377" t="s">
        <v>1431</v>
      </c>
      <c r="G482" s="1385"/>
      <c r="H482" s="1342"/>
      <c r="I482" s="1424" t="s">
        <v>1970</v>
      </c>
      <c r="J482" s="1385"/>
      <c r="K482" s="1383">
        <v>46</v>
      </c>
    </row>
    <row r="483" spans="1:11">
      <c r="A483" s="1130"/>
      <c r="B483" s="1235" t="s">
        <v>29</v>
      </c>
      <c r="C483" s="287" t="s">
        <v>1416</v>
      </c>
      <c r="D483" s="1185"/>
      <c r="E483" s="1237">
        <v>2003</v>
      </c>
      <c r="F483" s="1235"/>
      <c r="G483" s="538"/>
      <c r="I483" s="1159">
        <v>39.24</v>
      </c>
      <c r="J483" s="1471"/>
      <c r="K483" s="538"/>
    </row>
    <row r="484" spans="1:11">
      <c r="A484" s="539"/>
      <c r="B484" s="538" t="s">
        <v>27</v>
      </c>
      <c r="C484" s="1252" t="s">
        <v>1408</v>
      </c>
      <c r="D484" s="1252"/>
      <c r="E484" s="1235">
        <v>2001</v>
      </c>
      <c r="F484" s="538"/>
      <c r="G484" s="538"/>
      <c r="I484" s="1159"/>
      <c r="J484" s="1471"/>
      <c r="K484" s="538"/>
    </row>
    <row r="485" spans="1:11">
      <c r="A485" s="539"/>
      <c r="B485" s="538" t="s">
        <v>27</v>
      </c>
      <c r="C485" s="539" t="s">
        <v>1349</v>
      </c>
      <c r="D485" s="539"/>
      <c r="E485" s="538">
        <v>2003</v>
      </c>
      <c r="F485" s="538"/>
      <c r="G485" s="538"/>
      <c r="I485" s="1159"/>
      <c r="J485" s="538"/>
      <c r="K485" s="538"/>
    </row>
    <row r="486" spans="1:11">
      <c r="A486" s="1130"/>
      <c r="B486" s="538" t="s">
        <v>29</v>
      </c>
      <c r="C486" s="539" t="s">
        <v>1348</v>
      </c>
      <c r="D486" s="539"/>
      <c r="E486" s="538">
        <v>2003</v>
      </c>
      <c r="F486" s="538"/>
      <c r="G486" s="1236"/>
      <c r="I486" s="1159"/>
      <c r="J486" s="538"/>
      <c r="K486" s="90"/>
    </row>
    <row r="487" spans="1:11">
      <c r="A487" s="1130"/>
      <c r="B487" s="1236"/>
      <c r="C487" s="287"/>
      <c r="D487" s="1185"/>
      <c r="E487" s="1237"/>
      <c r="F487" s="1236"/>
      <c r="G487" s="1236"/>
      <c r="I487" s="1159"/>
      <c r="J487" s="538"/>
      <c r="K487" s="1239"/>
    </row>
    <row r="488" spans="1:11">
      <c r="A488" s="1335">
        <v>3</v>
      </c>
      <c r="B488" s="1377"/>
      <c r="C488" s="1378"/>
      <c r="D488" s="1379"/>
      <c r="E488" s="1380"/>
      <c r="F488" s="1377" t="s">
        <v>1855</v>
      </c>
      <c r="G488" s="1377"/>
      <c r="H488" s="1342"/>
      <c r="I488" s="1424" t="s">
        <v>1971</v>
      </c>
      <c r="J488" s="1383"/>
      <c r="K488" s="1382" t="s">
        <v>12</v>
      </c>
    </row>
    <row r="489" spans="1:11">
      <c r="A489" s="1130"/>
      <c r="B489" s="1236" t="s">
        <v>27</v>
      </c>
      <c r="C489" s="287" t="s">
        <v>1388</v>
      </c>
      <c r="D489" s="1185"/>
      <c r="E489" s="1237">
        <v>2002</v>
      </c>
      <c r="F489" s="1236"/>
      <c r="G489" s="1236"/>
      <c r="I489" s="1159">
        <v>41.47</v>
      </c>
      <c r="J489" s="538"/>
      <c r="K489" s="1239"/>
    </row>
    <row r="490" spans="1:11">
      <c r="A490" s="1130"/>
      <c r="B490" s="1236" t="s">
        <v>29</v>
      </c>
      <c r="C490" s="287" t="s">
        <v>1389</v>
      </c>
      <c r="D490" s="1185"/>
      <c r="E490" s="1237">
        <v>2001</v>
      </c>
      <c r="F490" s="1236"/>
      <c r="G490" s="538"/>
      <c r="I490" s="1159"/>
      <c r="J490" s="1471"/>
      <c r="K490" s="538"/>
    </row>
    <row r="491" spans="1:11">
      <c r="A491" s="1130"/>
      <c r="B491" s="538" t="s">
        <v>29</v>
      </c>
      <c r="C491" s="287" t="s">
        <v>1378</v>
      </c>
      <c r="D491" s="1185"/>
      <c r="E491" s="1237">
        <v>2002</v>
      </c>
      <c r="F491" s="538"/>
      <c r="G491" s="538"/>
      <c r="I491" s="1159"/>
      <c r="J491" s="1471"/>
      <c r="K491" s="1235"/>
    </row>
    <row r="492" spans="1:11">
      <c r="A492" s="539"/>
      <c r="B492" s="538" t="s">
        <v>27</v>
      </c>
      <c r="C492" s="539" t="s">
        <v>1532</v>
      </c>
      <c r="D492" s="539"/>
      <c r="E492" s="538">
        <v>1999</v>
      </c>
      <c r="F492" s="538"/>
      <c r="G492" s="538"/>
      <c r="I492" s="1159"/>
      <c r="J492" s="1471"/>
      <c r="K492" s="538"/>
    </row>
    <row r="493" spans="1:11">
      <c r="A493" s="539"/>
      <c r="B493" s="538"/>
      <c r="C493" s="524"/>
      <c r="D493" s="539"/>
      <c r="E493" s="538"/>
      <c r="F493" s="538"/>
      <c r="G493" s="538"/>
      <c r="I493" s="1159"/>
      <c r="J493" s="1471"/>
      <c r="K493" s="538"/>
    </row>
    <row r="494" spans="1:11">
      <c r="A494" s="1130"/>
      <c r="B494" s="1236"/>
      <c r="C494" s="539"/>
      <c r="D494" s="539"/>
      <c r="E494" s="538"/>
      <c r="F494" s="1236"/>
      <c r="G494" s="1236"/>
      <c r="I494" s="1159"/>
      <c r="J494" s="538"/>
      <c r="K494" s="1464"/>
    </row>
    <row r="495" spans="1:11">
      <c r="A495" s="1335">
        <v>4</v>
      </c>
      <c r="B495" s="1502"/>
      <c r="C495" s="1378"/>
      <c r="D495" s="1379"/>
      <c r="E495" s="1380"/>
      <c r="F495" s="1497" t="s">
        <v>1433</v>
      </c>
      <c r="G495" s="1377"/>
      <c r="H495" s="1342"/>
      <c r="I495" s="1424" t="s">
        <v>1972</v>
      </c>
      <c r="J495" s="1383"/>
      <c r="K495" s="1383">
        <v>42</v>
      </c>
    </row>
    <row r="496" spans="1:11">
      <c r="A496" s="1130"/>
      <c r="B496" s="1236" t="s">
        <v>29</v>
      </c>
      <c r="C496" s="1238" t="s">
        <v>1390</v>
      </c>
      <c r="D496" s="1238"/>
      <c r="E496" s="1237">
        <v>2003</v>
      </c>
      <c r="F496" s="1236"/>
      <c r="G496" s="586"/>
      <c r="I496" s="1159">
        <v>45.4</v>
      </c>
      <c r="J496" s="539"/>
      <c r="K496" s="90"/>
    </row>
    <row r="497" spans="1:11">
      <c r="A497" s="1130"/>
      <c r="B497" s="1236" t="s">
        <v>27</v>
      </c>
      <c r="C497" s="287" t="s">
        <v>1417</v>
      </c>
      <c r="D497" s="1185"/>
      <c r="E497" s="1237">
        <v>2003</v>
      </c>
      <c r="F497" s="586"/>
      <c r="G497" s="1235"/>
      <c r="I497" s="1159"/>
      <c r="J497" s="1252"/>
      <c r="K497" s="1241"/>
    </row>
    <row r="498" spans="1:11">
      <c r="A498" s="1130"/>
      <c r="B498" s="1235" t="s">
        <v>29</v>
      </c>
      <c r="C498" s="287" t="s">
        <v>1373</v>
      </c>
      <c r="D498" s="1185"/>
      <c r="E498" s="1237">
        <v>2002</v>
      </c>
      <c r="F498" s="1235"/>
      <c r="G498" s="1235"/>
      <c r="I498" s="1159"/>
      <c r="J498" s="1252"/>
      <c r="K498" s="1241"/>
    </row>
    <row r="499" spans="1:11">
      <c r="A499" s="1130"/>
      <c r="B499" s="1236" t="s">
        <v>1</v>
      </c>
      <c r="C499" s="1252" t="s">
        <v>1375</v>
      </c>
      <c r="D499" s="1252"/>
      <c r="E499" s="1235">
        <v>2002</v>
      </c>
      <c r="F499" s="1235"/>
      <c r="G499" s="538"/>
      <c r="I499" s="1159"/>
      <c r="J499" s="751"/>
      <c r="K499" s="538"/>
    </row>
    <row r="500" spans="1:11">
      <c r="A500" s="1210"/>
      <c r="B500" s="1210"/>
      <c r="C500" s="1135"/>
      <c r="D500" s="1131"/>
      <c r="E500" s="1144"/>
      <c r="F500" s="1139"/>
      <c r="G500" s="1207"/>
      <c r="I500" s="1159"/>
      <c r="J500" s="1131"/>
      <c r="K500" s="1159"/>
    </row>
    <row r="501" spans="1:11">
      <c r="A501" s="1335">
        <v>5</v>
      </c>
      <c r="B501" s="1502"/>
      <c r="C501" s="1378"/>
      <c r="D501" s="1379"/>
      <c r="E501" s="1380"/>
      <c r="F501" s="1497" t="s">
        <v>1709</v>
      </c>
      <c r="G501" s="1383"/>
      <c r="H501" s="1342"/>
      <c r="I501" s="1424" t="s">
        <v>1973</v>
      </c>
      <c r="J501" s="1477"/>
      <c r="K501" s="1383">
        <v>39</v>
      </c>
    </row>
    <row r="502" spans="1:11">
      <c r="A502" s="1130"/>
      <c r="B502" s="538" t="s">
        <v>15</v>
      </c>
      <c r="C502" s="1468" t="s">
        <v>1506</v>
      </c>
      <c r="D502" s="1238"/>
      <c r="E502" s="1237">
        <v>1996</v>
      </c>
      <c r="F502" s="538"/>
      <c r="G502" s="538"/>
      <c r="I502" s="1159">
        <v>47.61</v>
      </c>
      <c r="J502" s="1471"/>
      <c r="K502" s="538"/>
    </row>
    <row r="503" spans="1:11">
      <c r="A503" s="539"/>
      <c r="B503" s="538" t="s">
        <v>15</v>
      </c>
      <c r="C503" s="539" t="s">
        <v>1505</v>
      </c>
      <c r="D503" s="539"/>
      <c r="E503" s="538">
        <v>2000</v>
      </c>
      <c r="F503" s="538"/>
      <c r="G503" s="586"/>
      <c r="I503" s="1159"/>
      <c r="J503" s="538"/>
      <c r="K503" s="1239"/>
    </row>
    <row r="504" spans="1:11">
      <c r="A504" s="1130"/>
      <c r="B504" s="538" t="s">
        <v>15</v>
      </c>
      <c r="C504" s="539" t="s">
        <v>1455</v>
      </c>
      <c r="D504" s="539"/>
      <c r="E504" s="1237">
        <v>2002</v>
      </c>
      <c r="F504" s="1236"/>
      <c r="G504" s="1236"/>
      <c r="I504" s="1159"/>
      <c r="J504" s="538"/>
      <c r="K504" s="1239"/>
    </row>
    <row r="505" spans="1:11">
      <c r="A505" s="1130"/>
      <c r="B505" s="538" t="s">
        <v>15</v>
      </c>
      <c r="C505" s="287" t="s">
        <v>1456</v>
      </c>
      <c r="D505" s="1185"/>
      <c r="E505" s="1237">
        <v>2002</v>
      </c>
      <c r="F505" s="1236"/>
      <c r="G505" s="1236"/>
      <c r="I505" s="1159"/>
      <c r="J505" s="538"/>
      <c r="K505" s="1239"/>
    </row>
    <row r="506" spans="1:11">
      <c r="A506" s="1130"/>
      <c r="B506" s="1210"/>
      <c r="C506" s="1131"/>
      <c r="D506" s="1131"/>
      <c r="E506" s="1136"/>
      <c r="F506" s="1210"/>
      <c r="G506" s="1135"/>
      <c r="I506" s="1159"/>
      <c r="J506" s="1135"/>
      <c r="K506" s="1133"/>
    </row>
    <row r="507" spans="1:11">
      <c r="A507" s="1130"/>
      <c r="B507" s="1132"/>
      <c r="C507" s="1210"/>
      <c r="D507" s="1210"/>
      <c r="E507" s="1210"/>
      <c r="F507" s="1135"/>
      <c r="G507" s="1210"/>
      <c r="I507" s="1159"/>
      <c r="J507" s="537"/>
      <c r="K507" s="1472"/>
    </row>
    <row r="508" spans="1:11">
      <c r="A508" s="1210"/>
      <c r="B508" s="1210"/>
      <c r="C508" s="1135"/>
      <c r="D508" s="1135"/>
      <c r="E508" s="1132"/>
      <c r="F508" s="1210"/>
      <c r="G508" s="1210"/>
      <c r="I508" s="1159"/>
      <c r="J508" s="537"/>
      <c r="K508" s="1210"/>
    </row>
    <row r="509" spans="1:11">
      <c r="A509" s="1210"/>
      <c r="B509" s="1210"/>
      <c r="C509" s="1143"/>
      <c r="D509" s="1210"/>
      <c r="E509" s="1210"/>
      <c r="F509" s="1210"/>
      <c r="G509" s="1210"/>
      <c r="I509" s="1159"/>
      <c r="J509" s="537"/>
      <c r="K509" s="1210"/>
    </row>
    <row r="510" spans="1:11">
      <c r="A510" s="1210"/>
      <c r="B510" s="1210"/>
      <c r="C510" s="1210"/>
      <c r="D510" s="1210"/>
      <c r="E510" s="1210"/>
      <c r="F510" s="1210"/>
      <c r="G510" s="1210"/>
      <c r="I510" s="1159"/>
      <c r="J510" s="537"/>
      <c r="K510" s="1210"/>
    </row>
    <row r="511" spans="1:11" ht="18">
      <c r="A511" s="1210"/>
      <c r="B511" s="1210"/>
      <c r="C511" s="1210"/>
      <c r="D511" s="1210"/>
      <c r="E511" s="1129"/>
      <c r="F511" s="1210"/>
      <c r="G511" s="1330"/>
      <c r="I511" s="1159"/>
      <c r="J511" s="1210"/>
      <c r="K511" s="1208"/>
    </row>
    <row r="512" spans="1:11" ht="18">
      <c r="A512" s="1130"/>
      <c r="B512" s="1207"/>
      <c r="C512" s="1210"/>
      <c r="D512" s="1210"/>
      <c r="E512" s="1129"/>
      <c r="F512" s="1330"/>
      <c r="G512" s="1330"/>
      <c r="I512" s="1159"/>
      <c r="J512" s="1210"/>
      <c r="K512" s="1208"/>
    </row>
    <row r="513" spans="1:11">
      <c r="A513" s="1130"/>
      <c r="B513" s="1202"/>
      <c r="C513" s="1205"/>
      <c r="D513" s="1204"/>
      <c r="E513" s="1206"/>
      <c r="F513" s="1330"/>
      <c r="G513" s="1330"/>
      <c r="I513" s="1159"/>
      <c r="J513" s="1210"/>
      <c r="K513" s="1208"/>
    </row>
    <row r="514" spans="1:11">
      <c r="A514" s="1130"/>
      <c r="B514" s="1207"/>
      <c r="C514" s="1205"/>
      <c r="D514" s="1204"/>
      <c r="E514" s="1206"/>
      <c r="F514" s="1330"/>
      <c r="G514" s="1330"/>
      <c r="I514" s="1159"/>
      <c r="J514" s="1210"/>
      <c r="K514" s="1208"/>
    </row>
    <row r="515" spans="1:11">
      <c r="A515" s="1130"/>
      <c r="B515" s="1207"/>
      <c r="C515" s="1157"/>
      <c r="D515" s="1204"/>
      <c r="E515" s="1206"/>
      <c r="F515" s="1330"/>
      <c r="G515" s="1330"/>
      <c r="I515" s="1159"/>
      <c r="J515" s="1210"/>
      <c r="K515" s="1208"/>
    </row>
    <row r="516" spans="1:11">
      <c r="A516" s="1130"/>
      <c r="B516" s="1207"/>
      <c r="C516" s="1205"/>
      <c r="D516" s="1204"/>
      <c r="E516" s="1206"/>
      <c r="F516" s="1330"/>
      <c r="G516" s="1330"/>
      <c r="I516" s="1159"/>
      <c r="J516" s="1210"/>
      <c r="K516" s="1208"/>
    </row>
    <row r="517" spans="1:11">
      <c r="A517" s="1130"/>
      <c r="B517" s="1207"/>
      <c r="C517" s="1157"/>
      <c r="D517" s="1204"/>
      <c r="E517" s="1206"/>
      <c r="F517" s="1330"/>
      <c r="G517" s="1135"/>
      <c r="I517" s="1159"/>
      <c r="J517" s="1135"/>
      <c r="K517" s="1132"/>
    </row>
    <row r="518" spans="1:11">
      <c r="A518" s="1130"/>
      <c r="B518" s="1132"/>
      <c r="C518" s="1157"/>
      <c r="D518" s="1204"/>
      <c r="E518" s="1206"/>
      <c r="F518" s="1135"/>
      <c r="G518" s="1210"/>
      <c r="I518" s="1159"/>
      <c r="J518" s="537"/>
      <c r="K518" s="1139"/>
    </row>
    <row r="519" spans="1:11">
      <c r="A519" s="1210"/>
      <c r="B519" s="1210"/>
      <c r="C519" s="1135"/>
      <c r="D519" s="1135"/>
      <c r="E519" s="1132"/>
      <c r="F519" s="1210"/>
      <c r="G519" s="1330"/>
      <c r="I519" s="1159"/>
      <c r="J519" s="1210"/>
      <c r="K519" s="1208"/>
    </row>
    <row r="520" spans="1:11" ht="18">
      <c r="A520" s="1130"/>
      <c r="B520" s="1202"/>
      <c r="C520" s="1210"/>
      <c r="D520" s="1210"/>
      <c r="E520" s="1129"/>
      <c r="F520" s="1330"/>
      <c r="G520" s="1330"/>
      <c r="I520" s="1159"/>
      <c r="J520" s="1210"/>
      <c r="K520" s="1208"/>
    </row>
    <row r="521" spans="1:11">
      <c r="A521" s="1130"/>
      <c r="B521" s="1207"/>
      <c r="C521" s="1205"/>
      <c r="D521" s="1204"/>
      <c r="E521" s="1206"/>
      <c r="F521" s="1330"/>
      <c r="G521" s="1330"/>
      <c r="I521" s="1159"/>
      <c r="J521" s="1210"/>
      <c r="K521" s="1156"/>
    </row>
    <row r="522" spans="1:11">
      <c r="A522" s="1130"/>
      <c r="B522" s="1207"/>
      <c r="C522" s="1205"/>
      <c r="D522" s="1204"/>
      <c r="E522" s="1206"/>
      <c r="F522" s="27"/>
      <c r="G522" s="1330"/>
      <c r="I522" s="1159"/>
      <c r="J522" s="1210"/>
      <c r="K522" s="1208"/>
    </row>
    <row r="523" spans="1:11">
      <c r="A523" s="1130"/>
      <c r="B523" s="1207"/>
      <c r="C523" s="1205"/>
      <c r="D523" s="1205"/>
      <c r="E523" s="1206"/>
      <c r="F523" s="1330"/>
      <c r="G523" s="1330"/>
      <c r="I523" s="1159"/>
      <c r="J523" s="1210"/>
      <c r="K523" s="1208"/>
    </row>
    <row r="524" spans="1:11">
      <c r="A524" s="1130"/>
      <c r="B524" s="1207"/>
      <c r="C524" s="1205"/>
      <c r="D524" s="1204"/>
      <c r="E524" s="1206"/>
      <c r="F524" s="1330"/>
      <c r="G524" s="1330"/>
      <c r="H524" s="1210"/>
      <c r="I524" s="1159"/>
    </row>
    <row r="525" spans="1:11">
      <c r="A525" s="1130"/>
      <c r="B525" s="1207"/>
      <c r="C525" s="1205"/>
      <c r="D525" s="1204"/>
      <c r="E525" s="1206"/>
      <c r="F525" s="1330"/>
      <c r="G525" s="1135"/>
      <c r="H525" s="1135"/>
      <c r="I525" s="1159"/>
    </row>
    <row r="526" spans="1:11">
      <c r="A526" s="1130"/>
      <c r="B526" s="1132"/>
      <c r="C526" s="1205"/>
      <c r="D526" s="1204"/>
      <c r="E526" s="1206"/>
      <c r="F526" s="1135"/>
      <c r="G526" s="1210"/>
      <c r="H526" s="537"/>
      <c r="I526" s="1159"/>
    </row>
    <row r="527" spans="1:11">
      <c r="A527" s="1210"/>
      <c r="B527" s="1210"/>
      <c r="C527" s="1135"/>
      <c r="D527" s="1135"/>
      <c r="E527" s="1132"/>
      <c r="F527" s="1210"/>
      <c r="G527" s="1330"/>
      <c r="H527" s="1210"/>
      <c r="I527" s="1159"/>
    </row>
    <row r="528" spans="1:11">
      <c r="I528" s="1159"/>
    </row>
    <row r="529" spans="9:9">
      <c r="I529" s="1159"/>
    </row>
    <row r="530" spans="9:9">
      <c r="I530" s="1159"/>
    </row>
    <row r="531" spans="9:9">
      <c r="I531" s="1159"/>
    </row>
    <row r="532" spans="9:9">
      <c r="I532" s="1159"/>
    </row>
    <row r="533" spans="9:9">
      <c r="I533" s="1159"/>
    </row>
    <row r="534" spans="9:9">
      <c r="I534" s="1159"/>
    </row>
    <row r="535" spans="9:9">
      <c r="I535" s="1159"/>
    </row>
    <row r="536" spans="9:9">
      <c r="I536" s="1159"/>
    </row>
    <row r="537" spans="9:9">
      <c r="I537" s="1159"/>
    </row>
    <row r="538" spans="9:9">
      <c r="I538" s="1159"/>
    </row>
    <row r="539" spans="9:9">
      <c r="I539" s="1159"/>
    </row>
    <row r="540" spans="9:9">
      <c r="I540" s="1159"/>
    </row>
    <row r="541" spans="9:9">
      <c r="I541" s="1159"/>
    </row>
    <row r="542" spans="9:9">
      <c r="I542" s="1159"/>
    </row>
    <row r="543" spans="9:9">
      <c r="I543" s="1159"/>
    </row>
    <row r="544" spans="9:9">
      <c r="I544" s="1159"/>
    </row>
    <row r="545" spans="9:9">
      <c r="I545" s="1159"/>
    </row>
    <row r="546" spans="9:9">
      <c r="I546" s="1159"/>
    </row>
    <row r="547" spans="9:9">
      <c r="I547" s="1159"/>
    </row>
    <row r="548" spans="9:9">
      <c r="I548" s="1159"/>
    </row>
    <row r="549" spans="9:9">
      <c r="I549" s="1159"/>
    </row>
    <row r="550" spans="9:9">
      <c r="I550" s="1159"/>
    </row>
    <row r="551" spans="9:9">
      <c r="I551" s="1159"/>
    </row>
    <row r="552" spans="9:9">
      <c r="I552" s="1159"/>
    </row>
    <row r="553" spans="9:9">
      <c r="I553" s="1159"/>
    </row>
    <row r="554" spans="9:9">
      <c r="I554" s="1159"/>
    </row>
    <row r="555" spans="9:9">
      <c r="I555" s="1159"/>
    </row>
    <row r="556" spans="9:9">
      <c r="I556" s="1159"/>
    </row>
    <row r="557" spans="9:9">
      <c r="I557" s="1159"/>
    </row>
    <row r="558" spans="9:9">
      <c r="I558" s="1159"/>
    </row>
    <row r="559" spans="9:9">
      <c r="I559" s="1159"/>
    </row>
    <row r="560" spans="9:9">
      <c r="I560" s="1159"/>
    </row>
    <row r="561" spans="9:9">
      <c r="I561" s="1159"/>
    </row>
    <row r="562" spans="9:9">
      <c r="I562" s="1159"/>
    </row>
    <row r="563" spans="9:9">
      <c r="I563" s="1159"/>
    </row>
    <row r="564" spans="9:9">
      <c r="I564" s="1159"/>
    </row>
    <row r="565" spans="9:9">
      <c r="I565" s="1159"/>
    </row>
    <row r="566" spans="9:9">
      <c r="I566" s="1159"/>
    </row>
    <row r="567" spans="9:9">
      <c r="I567" s="1159"/>
    </row>
  </sheetData>
  <sortState xmlns:xlrd2="http://schemas.microsoft.com/office/spreadsheetml/2017/richdata2" ref="A447:K451">
    <sortCondition ref="I447:I451" customList="по возрастанию"/>
  </sortState>
  <mergeCells count="37">
    <mergeCell ref="C402:D402"/>
    <mergeCell ref="A55:K55"/>
    <mergeCell ref="A1:K1"/>
    <mergeCell ref="A2:K2"/>
    <mergeCell ref="A3:K3"/>
    <mergeCell ref="A22:K22"/>
    <mergeCell ref="A23:K23"/>
    <mergeCell ref="A25:K25"/>
    <mergeCell ref="C47:H48"/>
    <mergeCell ref="C51:K51"/>
    <mergeCell ref="C52:K52"/>
    <mergeCell ref="C53:K53"/>
    <mergeCell ref="A54:K54"/>
    <mergeCell ref="A100:K100"/>
    <mergeCell ref="A56:C56"/>
    <mergeCell ref="F56:J56"/>
    <mergeCell ref="A57:K57"/>
    <mergeCell ref="B58:D58"/>
    <mergeCell ref="E58:G58"/>
    <mergeCell ref="I58:K58"/>
    <mergeCell ref="B95:D95"/>
    <mergeCell ref="C96:K96"/>
    <mergeCell ref="C97:K97"/>
    <mergeCell ref="C98:K98"/>
    <mergeCell ref="A99:K99"/>
    <mergeCell ref="K104:K105"/>
    <mergeCell ref="C138:D138"/>
    <mergeCell ref="F101:I101"/>
    <mergeCell ref="A102:K102"/>
    <mergeCell ref="A103:K103"/>
    <mergeCell ref="A104:A105"/>
    <mergeCell ref="B104:B105"/>
    <mergeCell ref="C104:D105"/>
    <mergeCell ref="E104:E105"/>
    <mergeCell ref="F104:G105"/>
    <mergeCell ref="H104:I104"/>
    <mergeCell ref="J104:J105"/>
  </mergeCells>
  <conditionalFormatting sqref="C126">
    <cfRule type="duplicateValues" dxfId="210" priority="307"/>
  </conditionalFormatting>
  <conditionalFormatting sqref="C121:C124 C107:C108">
    <cfRule type="duplicateValues" dxfId="209" priority="305"/>
  </conditionalFormatting>
  <conditionalFormatting sqref="C160">
    <cfRule type="duplicateValues" dxfId="208" priority="304"/>
  </conditionalFormatting>
  <conditionalFormatting sqref="D135 C134">
    <cfRule type="duplicateValues" dxfId="207" priority="293"/>
  </conditionalFormatting>
  <conditionalFormatting sqref="C151">
    <cfRule type="duplicateValues" dxfId="206" priority="291"/>
  </conditionalFormatting>
  <conditionalFormatting sqref="H121 H137 H148:H149 H162 H151">
    <cfRule type="expression" dxfId="205" priority="287">
      <formula>IF(ISNUMBER(H121),FALSE,IF(ISBLANK(H121),FALSE,TRUE))</formula>
    </cfRule>
    <cfRule type="expression" dxfId="204" priority="288">
      <formula>IF(INT(H121/10000)&gt;23,TRUE,IF(INT(MOD(H121,10000)/100)&gt;59.99,TRUE,IF(MOD(H121,100)&gt;59.99,TRUE,FALSE)))</formula>
    </cfRule>
  </conditionalFormatting>
  <conditionalFormatting sqref="H132:H133 K163 H122 H119:H120 H125:H126 I268 K183:K184 H198 K198 H194:H195 H191:H192 H185:H186 H181 H177:H178 H169 H171:H175 H163:H167 K136:K138 H159 H154 H135">
    <cfRule type="expression" dxfId="203" priority="284">
      <formula>IF(NOT(ISBLANK(H119)),IF(ISNUMBER(H119),IF(INT(H119/10000)&gt;23,TRUE,IF(INT(MOD(H119,10000)/100)&gt;59.99,TRUE,IF(MOD(H119,100)&gt;59.99,TRUE,FALSE))),TRUE))</formula>
    </cfRule>
  </conditionalFormatting>
  <conditionalFormatting sqref="C120">
    <cfRule type="duplicateValues" dxfId="202" priority="281"/>
  </conditionalFormatting>
  <conditionalFormatting sqref="A120:A121 A124 A127 A130">
    <cfRule type="expression" priority="280">
      <formula>IF(MOD(A124,10)&lt;10,MOD(A124,10),IF(A124/10&gt;8,MOD(A124,80),IF(A124/10&gt;7,MOD(A124,70),IF(A124/10&gt;6,MOD(A124,60),IF(A124/10&gt;5,MOD(A124,50),IF(A124/10&gt;4,MOD(A124,40),IF(A124/10&gt;3,MOD(A124,30),IF(A124/10&gt;2,MOD(A124,20),MOD(A124,100)))))))))</formula>
    </cfRule>
  </conditionalFormatting>
  <conditionalFormatting sqref="A111 A114:A116">
    <cfRule type="expression" priority="279">
      <formula>IF(MOD(#REF!,10)&lt;10,MOD(#REF!,10),IF(#REF!/10&gt;8,MOD(#REF!,80),IF(#REF!/10&gt;7,MOD(#REF!,70),IF(#REF!/10&gt;6,MOD(#REF!,60),IF(#REF!/10&gt;5,MOD(#REF!,50),IF(#REF!/10&gt;4,MOD(#REF!,40),IF(#REF!/10&gt;3,MOD(#REF!,30),IF(#REF!/10&gt;2,MOD(#REF!,20),MOD(#REF!,100)))))))))</formula>
    </cfRule>
  </conditionalFormatting>
  <conditionalFormatting sqref="A148:A149 A114">
    <cfRule type="expression" priority="276">
      <formula>IF(MOD(#REF!,10)&lt;10,MOD(#REF!,10),IF(#REF!/10&gt;8,MOD(#REF!,80),IF(#REF!/10&gt;7,MOD(#REF!,70),IF(#REF!/10&gt;6,MOD(#REF!,60),IF(#REF!/10&gt;5,MOD(#REF!,50),IF(#REF!/10&gt;4,MOD(#REF!,40),IF(#REF!/10&gt;3,MOD(#REF!,30),IF(#REF!/10&gt;2,MOD(#REF!,20),MOD(#REF!,100)))))))))</formula>
    </cfRule>
  </conditionalFormatting>
  <conditionalFormatting sqref="C150">
    <cfRule type="duplicateValues" dxfId="201" priority="272"/>
  </conditionalFormatting>
  <conditionalFormatting sqref="A164:A184">
    <cfRule type="expression" priority="269">
      <formula>IF(MOD(#REF!,10)&lt;10,MOD(#REF!,10),IF(#REF!/10&gt;8,MOD(#REF!,80),IF(#REF!/10&gt;7,MOD(#REF!,70),IF(#REF!/10&gt;6,MOD(#REF!,60),IF(#REF!/10&gt;5,MOD(#REF!,50),IF(#REF!/10&gt;4,MOD(#REF!,40),IF(#REF!/10&gt;3,MOD(#REF!,30),IF(#REF!/10&gt;2,MOD(#REF!,20),MOD(#REF!,100)))))))))</formula>
    </cfRule>
  </conditionalFormatting>
  <conditionalFormatting sqref="B186">
    <cfRule type="expression" dxfId="200" priority="260">
      <formula>IF(#REF!&lt;&gt;$H$11,IF(#REF!&lt;&gt;$H$12,IF(#REF!&lt;&gt;$H$13,IF(#REF!&lt;&gt;$I$11,IF(B186&lt;&gt;$I$12,IF(#REF!&lt;&gt;$I$13,IF(#REF!&lt;&gt;$L$11,IF(#REF!&lt;&gt;$L$12,IF(#REF!&lt;&gt;$L$13,IF(#REF!&lt;&gt;$N$11,IF(#REF!&lt;&gt;$N$12,TRUE)))))))))))</formula>
    </cfRule>
  </conditionalFormatting>
  <conditionalFormatting sqref="C188">
    <cfRule type="duplicateValues" dxfId="199" priority="258"/>
  </conditionalFormatting>
  <conditionalFormatting sqref="B198">
    <cfRule type="expression" dxfId="198" priority="253">
      <formula>IF(#REF!&lt;&gt;$H$11,IF(#REF!&lt;&gt;$H$12,IF(#REF!&lt;&gt;$H$13,IF(#REF!&lt;&gt;$I$11,IF(B198&lt;&gt;$I$12,IF(#REF!&lt;&gt;$I$13,IF(#REF!&lt;&gt;$L$11,IF(#REF!&lt;&gt;$L$12,IF(#REF!&lt;&gt;$L$13,IF(#REF!&lt;&gt;$N$11,IF(#REF!&lt;&gt;$N$12,TRUE)))))))))))</formula>
    </cfRule>
  </conditionalFormatting>
  <conditionalFormatting sqref="A159">
    <cfRule type="expression" priority="251">
      <formula>IF(MOD(#REF!,10)&lt;10,MOD(#REF!,10),IF(#REF!/10&gt;8,MOD(#REF!,80),IF(#REF!/10&gt;7,MOD(#REF!,70),IF(#REF!/10&gt;6,MOD(#REF!,60),IF(#REF!/10&gt;5,MOD(#REF!,50),IF(#REF!/10&gt;4,MOD(#REF!,40),IF(#REF!/10&gt;3,MOD(#REF!,30),IF(#REF!/10&gt;2,MOD(#REF!,20),MOD(#REF!,100)))))))))</formula>
    </cfRule>
  </conditionalFormatting>
  <conditionalFormatting sqref="E164:E184 E152:E162 E122:E149 E109:E119">
    <cfRule type="expression" dxfId="197" priority="250">
      <formula>IF(ISBLANK(E109),FALSE,IF(IF(ISNUMBER($E$13),IF(YEAR(TODAY())-$E$13&lt;=E109,FALSE,TRUE),FALSE),TRUE,IF(ISNUMBER($H$13),IF(YEAR(TODAY())-$H$13&lt;E109,TRUE,FALSE),FALSE)))</formula>
    </cfRule>
  </conditionalFormatting>
  <conditionalFormatting sqref="G112 G114:G119 G109:G110">
    <cfRule type="expression" dxfId="196" priority="249">
      <formula>IF(G109&gt;($H$11+$H$12-#REF!),IF((G109+#REF!)&gt;($H$11+$H$12),TRUE,))</formula>
    </cfRule>
  </conditionalFormatting>
  <conditionalFormatting sqref="G111 G113">
    <cfRule type="expression" dxfId="195" priority="248">
      <formula>IF(G111&gt;($H$11+$H$12-#REF!),IF((G111+#REF!)&gt;($H$11+$H$12),TRUE,))</formula>
    </cfRule>
  </conditionalFormatting>
  <conditionalFormatting sqref="B110">
    <cfRule type="expression" dxfId="194" priority="246">
      <formula>IF(#REF!&lt;&gt;$I$11,IF(#REF!&lt;&gt;$I$12,IF(#REF!&lt;&gt;$I$13,IF(#REF!&lt;&gt;$J$11,IF(#REF!&lt;&gt;$J$12,IF(#REF!&lt;&gt;$J$13,IF(#REF!&lt;&gt;#REF!,IF(#REF!&lt;&gt;#REF!,IF(#REF!&lt;&gt;#REF!,IF(#REF!&lt;&gt;#REF!,IF(#REF!&lt;&gt;#REF!,TRUE)))))))))))</formula>
    </cfRule>
  </conditionalFormatting>
  <conditionalFormatting sqref="B143 B139:B140 B137 B119 B116 B112:B113">
    <cfRule type="expression" dxfId="193" priority="245">
      <formula>IF(#REF!&lt;&gt;$I$11,IF(#REF!&lt;&gt;$I$12,IF(#REF!&lt;&gt;$I$13,IF(#REF!&lt;&gt;$J$11,IF(#REF!&lt;&gt;$J$12,IF(#REF!&lt;&gt;$J$13,IF(#REF!&lt;&gt;#REF!,IF(#REF!&lt;&gt;#REF!,IF(#REF!&lt;&gt;#REF!,IF(#REF!&lt;&gt;#REF!,IF(#REF!&lt;&gt;#REF!,TRUE)))))))))))</formula>
    </cfRule>
  </conditionalFormatting>
  <conditionalFormatting sqref="A128">
    <cfRule type="expression" priority="242">
      <formula>IF(MOD(A147,10)&lt;10,MOD(A147,10),IF(A147/10&gt;8,MOD(A147,80),IF(A147/10&gt;7,MOD(A147,70),IF(A147/10&gt;6,MOD(A147,60),IF(A147/10&gt;5,MOD(A147,50),IF(A147/10&gt;4,MOD(A147,40),IF(A147/10&gt;3,MOD(A147,30),IF(A147/10&gt;2,MOD(A147,20),MOD(A147,100)))))))))</formula>
    </cfRule>
  </conditionalFormatting>
  <conditionalFormatting sqref="A122:A126 A128:A129 A131:A132 A134:A135">
    <cfRule type="expression" priority="241">
      <formula>IF(MOD(A143,10)&lt;10,MOD(A143,10),IF(A143/10&gt;8,MOD(A143,80),IF(A143/10&gt;7,MOD(A143,70),IF(A143/10&gt;6,MOD(A143,60),IF(A143/10&gt;5,MOD(A143,50),IF(A143/10&gt;4,MOD(A143,40),IF(A143/10&gt;3,MOD(A143,30),IF(A143/10&gt;2,MOD(A143,20),MOD(A143,100)))))))))</formula>
    </cfRule>
  </conditionalFormatting>
  <conditionalFormatting sqref="B136">
    <cfRule type="expression" dxfId="192" priority="240">
      <formula>IF(#REF!&lt;&gt;$I$11,IF(#REF!&lt;&gt;$I$12,IF(#REF!&lt;&gt;$I$13,IF(#REF!&lt;&gt;$J$11,IF(#REF!&lt;&gt;$J$12,IF(#REF!&lt;&gt;$J$13,IF(#REF!&lt;&gt;#REF!,IF(#REF!&lt;&gt;#REF!,IF(#REF!&lt;&gt;#REF!,IF(#REF!&lt;&gt;#REF!,IF(#REF!&lt;&gt;#REF!,TRUE)))))))))))</formula>
    </cfRule>
  </conditionalFormatting>
  <conditionalFormatting sqref="B141">
    <cfRule type="expression" dxfId="191" priority="239">
      <formula>IF(#REF!&lt;&gt;$I$11,IF(#REF!&lt;&gt;$I$12,IF(#REF!&lt;&gt;$I$13,IF(#REF!&lt;&gt;$J$11,IF(#REF!&lt;&gt;$J$12,IF(#REF!&lt;&gt;$J$13,IF(#REF!&lt;&gt;#REF!,IF(#REF!&lt;&gt;#REF!,IF(#REF!&lt;&gt;#REF!,IF(#REF!&lt;&gt;#REF!,IF(#REF!&lt;&gt;#REF!,TRUE)))))))))))</formula>
    </cfRule>
  </conditionalFormatting>
  <conditionalFormatting sqref="B146">
    <cfRule type="expression" dxfId="190" priority="238">
      <formula>IF(#REF!&lt;&gt;$I$11,IF(#REF!&lt;&gt;$I$12,IF(#REF!&lt;&gt;$I$13,IF(#REF!&lt;&gt;$J$11,IF(#REF!&lt;&gt;$J$12,IF(#REF!&lt;&gt;$J$13,IF(#REF!&lt;&gt;#REF!,IF(#REF!&lt;&gt;#REF!,IF(#REF!&lt;&gt;#REF!,IF(#REF!&lt;&gt;#REF!,IF(#REF!&lt;&gt;#REF!,TRUE)))))))))))</formula>
    </cfRule>
  </conditionalFormatting>
  <conditionalFormatting sqref="A130">
    <cfRule type="expression" priority="237">
      <formula>IF(MOD(#REF!,10)&lt;10,MOD(#REF!,10),IF(#REF!/10&gt;8,MOD(#REF!,80),IF(#REF!/10&gt;7,MOD(#REF!,70),IF(#REF!/10&gt;6,MOD(#REF!,60),IF(#REF!/10&gt;5,MOD(#REF!,50),IF(#REF!/10&gt;4,MOD(#REF!,40),IF(#REF!/10&gt;3,MOD(#REF!,30),IF(#REF!/10&gt;2,MOD(#REF!,20),MOD(#REF!,100)))))))))</formula>
    </cfRule>
  </conditionalFormatting>
  <conditionalFormatting sqref="A111:A112">
    <cfRule type="expression" priority="235">
      <formula>IF(MOD(A133,10)&lt;10,MOD(A133,10),IF(A133/10&gt;8,MOD(A133,80),IF(A133/10&gt;7,MOD(A133,70),IF(A133/10&gt;6,MOD(A133,60),IF(A133/10&gt;5,MOD(A133,50),IF(A133/10&gt;4,MOD(A133,40),IF(A133/10&gt;3,MOD(A133,30),IF(A133/10&gt;2,MOD(A133,20),MOD(A133,100)))))))))</formula>
    </cfRule>
  </conditionalFormatting>
  <conditionalFormatting sqref="A177 A161 A259">
    <cfRule type="expression" priority="234">
      <formula>IF(MOD(#REF!,10)&lt;10,MOD(#REF!,10),IF(#REF!/10&gt;8,MOD(#REF!,80),IF(#REF!/10&gt;7,MOD(#REF!,70),IF(#REF!/10&gt;6,MOD(#REF!,60),IF(#REF!/10&gt;5,MOD(#REF!,50),IF(#REF!/10&gt;4,MOD(#REF!,40),IF(#REF!/10&gt;3,MOD(#REF!,30),IF(#REF!/10&gt;2,MOD(#REF!,20),MOD(#REF!,100)))))))))</formula>
    </cfRule>
  </conditionalFormatting>
  <conditionalFormatting sqref="A184">
    <cfRule type="expression" priority="233">
      <formula>IF(MOD(#REF!,10)&lt;10,MOD(#REF!,10),IF(#REF!/10&gt;8,MOD(#REF!,80),IF(#REF!/10&gt;7,MOD(#REF!,70),IF(#REF!/10&gt;6,MOD(#REF!,60),IF(#REF!/10&gt;5,MOD(#REF!,50),IF(#REF!/10&gt;4,MOD(#REF!,40),IF(#REF!/10&gt;3,MOD(#REF!,30),IF(#REF!/10&gt;2,MOD(#REF!,20),MOD(#REF!,100)))))))))</formula>
    </cfRule>
  </conditionalFormatting>
  <conditionalFormatting sqref="A116">
    <cfRule type="expression" priority="232">
      <formula>IF(MOD(#REF!,10)&lt;10,MOD(#REF!,10),IF(#REF!/10&gt;8,MOD(#REF!,80),IF(#REF!/10&gt;7,MOD(#REF!,70),IF(#REF!/10&gt;6,MOD(#REF!,60),IF(#REF!/10&gt;5,MOD(#REF!,50),IF(#REF!/10&gt;4,MOD(#REF!,40),IF(#REF!/10&gt;3,MOD(#REF!,30),IF(#REF!/10&gt;2,MOD(#REF!,20),MOD(#REF!,100)))))))))</formula>
    </cfRule>
  </conditionalFormatting>
  <conditionalFormatting sqref="A179 A172:A173 A110 A116:A117 A113:A114 A119:A120 A182 A133:A135 A139:A163 A166:A169 A176:A177 A184:A186 A198 A191:A196 A274 A271">
    <cfRule type="expression" priority="231">
      <formula>IF(MOD(#REF!,10)&lt;10,MOD(#REF!,10),IF(#REF!/10&gt;8,MOD(#REF!,80),IF(#REF!/10&gt;7,MOD(#REF!,70),IF(#REF!/10&gt;6,MOD(#REF!,60),IF(#REF!/10&gt;5,MOD(#REF!,50),IF(#REF!/10&gt;4,MOD(#REF!,40),IF(#REF!/10&gt;3,MOD(#REF!,30),IF(#REF!/10&gt;2,MOD(#REF!,20),MOD(#REF!,100)))))))))</formula>
    </cfRule>
  </conditionalFormatting>
  <conditionalFormatting sqref="B157">
    <cfRule type="expression" dxfId="189" priority="226">
      <formula>IF(#REF!&lt;&gt;$I$11,IF(#REF!&lt;&gt;$I$12,IF(#REF!&lt;&gt;$I$13,IF(#REF!&lt;&gt;$J$11,IF(#REF!&lt;&gt;$J$12,IF(#REF!&lt;&gt;$J$13,IF(#REF!&lt;&gt;#REF!,IF(#REF!&lt;&gt;#REF!,IF(#REF!&lt;&gt;#REF!,IF(#REF!&lt;&gt;#REF!,IF(#REF!&lt;&gt;#REF!,TRUE)))))))))))</formula>
    </cfRule>
  </conditionalFormatting>
  <conditionalFormatting sqref="B138">
    <cfRule type="expression" dxfId="188" priority="224">
      <formula>IF(#REF!&lt;&gt;$I$11,IF(#REF!&lt;&gt;$I$12,IF(#REF!&lt;&gt;$I$13,IF(#REF!&lt;&gt;$J$11,IF(#REF!&lt;&gt;$J$12,IF(#REF!&lt;&gt;$J$13,IF(#REF!&lt;&gt;#REF!,IF(#REF!&lt;&gt;#REF!,IF(#REF!&lt;&gt;#REF!,IF(#REF!&lt;&gt;#REF!,IF(#REF!&lt;&gt;#REF!,TRUE)))))))))))</formula>
    </cfRule>
  </conditionalFormatting>
  <conditionalFormatting sqref="A142:A143">
    <cfRule type="expression" priority="223">
      <formula>IF(MOD(#REF!,10)&lt;10,MOD(#REF!,10),IF(#REF!/10&gt;8,MOD(#REF!,80),IF(#REF!/10&gt;7,MOD(#REF!,70),IF(#REF!/10&gt;6,MOD(#REF!,60),IF(#REF!/10&gt;5,MOD(#REF!,50),IF(#REF!/10&gt;4,MOD(#REF!,40),IF(#REF!/10&gt;3,MOD(#REF!,30),IF(#REF!/10&gt;2,MOD(#REF!,20),MOD(#REF!,100)))))))))</formula>
    </cfRule>
  </conditionalFormatting>
  <conditionalFormatting sqref="B156">
    <cfRule type="expression" dxfId="187" priority="222">
      <formula>IF(#REF!&lt;&gt;$I$11,IF(#REF!&lt;&gt;$I$12,IF(#REF!&lt;&gt;$I$13,IF(#REF!&lt;&gt;$J$11,IF(#REF!&lt;&gt;$J$12,IF(#REF!&lt;&gt;$J$13,IF(#REF!&lt;&gt;#REF!,IF(#REF!&lt;&gt;#REF!,IF(#REF!&lt;&gt;#REF!,IF(#REF!&lt;&gt;#REF!,IF(#REF!&lt;&gt;#REF!,TRUE)))))))))))</formula>
    </cfRule>
  </conditionalFormatting>
  <conditionalFormatting sqref="A137">
    <cfRule type="expression" priority="221">
      <formula>IF(MOD(#REF!,10)&lt;10,MOD(#REF!,10),IF(#REF!/10&gt;8,MOD(#REF!,80),IF(#REF!/10&gt;7,MOD(#REF!,70),IF(#REF!/10&gt;6,MOD(#REF!,60),IF(#REF!/10&gt;5,MOD(#REF!,50),IF(#REF!/10&gt;4,MOD(#REF!,40),IF(#REF!/10&gt;3,MOD(#REF!,30),IF(#REF!/10&gt;2,MOD(#REF!,20),MOD(#REF!,100)))))))))</formula>
    </cfRule>
  </conditionalFormatting>
  <conditionalFormatting sqref="B184">
    <cfRule type="expression" dxfId="186" priority="220">
      <formula>IF(#REF!&lt;&gt;$I$11,IF(#REF!&lt;&gt;$I$12,IF(#REF!&lt;&gt;$I$13,IF(#REF!&lt;&gt;$J$11,IF(#REF!&lt;&gt;$J$12,IF(#REF!&lt;&gt;$J$13,IF(#REF!&lt;&gt;#REF!,IF(#REF!&lt;&gt;#REF!,IF(#REF!&lt;&gt;#REF!,IF(#REF!&lt;&gt;#REF!,IF(#REF!&lt;&gt;#REF!,TRUE)))))))))))</formula>
    </cfRule>
  </conditionalFormatting>
  <conditionalFormatting sqref="B147">
    <cfRule type="expression" dxfId="185" priority="218">
      <formula>IF(#REF!&lt;&gt;$I$11,IF(#REF!&lt;&gt;$I$12,IF(#REF!&lt;&gt;$I$13,IF(#REF!&lt;&gt;$J$11,IF(#REF!&lt;&gt;$J$12,IF(#REF!&lt;&gt;$J$13,IF(#REF!&lt;&gt;#REF!,IF(#REF!&lt;&gt;#REF!,IF(#REF!&lt;&gt;#REF!,IF(#REF!&lt;&gt;#REF!,IF(#REF!&lt;&gt;#REF!,TRUE)))))))))))</formula>
    </cfRule>
  </conditionalFormatting>
  <conditionalFormatting sqref="A165 A167:A169 A171 A173:A181">
    <cfRule type="expression" priority="210">
      <formula>IF(MOD(#REF!,10)&lt;10,MOD(#REF!,10),IF(#REF!/10&gt;8,MOD(#REF!,80),IF(#REF!/10&gt;7,MOD(#REF!,70),IF(#REF!/10&gt;6,MOD(#REF!,60),IF(#REF!/10&gt;5,MOD(#REF!,50),IF(#REF!/10&gt;4,MOD(#REF!,40),IF(#REF!/10&gt;3,MOD(#REF!,30),IF(#REF!/10&gt;2,MOD(#REF!,20),MOD(#REF!,100)))))))))</formula>
    </cfRule>
  </conditionalFormatting>
  <conditionalFormatting sqref="A141 A136">
    <cfRule type="expression" priority="200">
      <formula>IF(MOD(#REF!,10)&lt;10,MOD(#REF!,10),IF(#REF!/10&gt;8,MOD(#REF!,80),IF(#REF!/10&gt;7,MOD(#REF!,70),IF(#REF!/10&gt;6,MOD(#REF!,60),IF(#REF!/10&gt;5,MOD(#REF!,50),IF(#REF!/10&gt;4,MOD(#REF!,40),IF(#REF!/10&gt;3,MOD(#REF!,30),IF(#REF!/10&gt;2,MOD(#REF!,20),MOD(#REF!,100)))))))))</formula>
    </cfRule>
  </conditionalFormatting>
  <conditionalFormatting sqref="A155">
    <cfRule type="expression" priority="194">
      <formula>IF(MOD(A165,10)&lt;10,MOD(A165,10),IF(A165/10&gt;8,MOD(A165,80),IF(A165/10&gt;7,MOD(A165,70),IF(A165/10&gt;6,MOD(A165,60),IF(A165/10&gt;5,MOD(A165,50),IF(A165/10&gt;4,MOD(A165,40),IF(A165/10&gt;3,MOD(A165,30),IF(A165/10&gt;2,MOD(A165,20),MOD(A165,100)))))))))</formula>
    </cfRule>
  </conditionalFormatting>
  <conditionalFormatting sqref="A182:A184 A173:A176 A109:A110 A113:A114 A152:A153">
    <cfRule type="expression" priority="192">
      <formula>IF(MOD(#REF!,10)&lt;10,MOD(#REF!,10),IF(#REF!/10&gt;8,MOD(#REF!,80),IF(#REF!/10&gt;7,MOD(#REF!,70),IF(#REF!/10&gt;6,MOD(#REF!,60),IF(#REF!/10&gt;5,MOD(#REF!,50),IF(#REF!/10&gt;4,MOD(#REF!,40),IF(#REF!/10&gt;3,MOD(#REF!,30),IF(#REF!/10&gt;2,MOD(#REF!,20),MOD(#REF!,100)))))))))</formula>
    </cfRule>
  </conditionalFormatting>
  <conditionalFormatting sqref="A158">
    <cfRule type="expression" priority="188">
      <formula>IF(MOD(#REF!,10)&lt;10,MOD(#REF!,10),IF(#REF!/10&gt;8,MOD(#REF!,80),IF(#REF!/10&gt;7,MOD(#REF!,70),IF(#REF!/10&gt;6,MOD(#REF!,60),IF(#REF!/10&gt;5,MOD(#REF!,50),IF(#REF!/10&gt;4,MOD(#REF!,40),IF(#REF!/10&gt;3,MOD(#REF!,30),IF(#REF!/10&gt;2,MOD(#REF!,20),MOD(#REF!,100)))))))))</formula>
    </cfRule>
  </conditionalFormatting>
  <conditionalFormatting sqref="A133 A129 A115">
    <cfRule type="expression" priority="187">
      <formula>IF(MOD(#REF!,10)&lt;10,MOD(#REF!,10),IF(#REF!/10&gt;8,MOD(#REF!,80),IF(#REF!/10&gt;7,MOD(#REF!,70),IF(#REF!/10&gt;6,MOD(#REF!,60),IF(#REF!/10&gt;5,MOD(#REF!,50),IF(#REF!/10&gt;4,MOD(#REF!,40),IF(#REF!/10&gt;3,MOD(#REF!,30),IF(#REF!/10&gt;2,MOD(#REF!,20),MOD(#REF!,100)))))))))</formula>
    </cfRule>
  </conditionalFormatting>
  <conditionalFormatting sqref="A124">
    <cfRule type="expression" priority="185">
      <formula>IF(MOD(A136,10)&lt;10,MOD(A136,10),IF(A136/10&gt;8,MOD(A136,80),IF(A136/10&gt;7,MOD(A136,70),IF(A136/10&gt;6,MOD(A136,60),IF(A136/10&gt;5,MOD(A136,50),IF(A136/10&gt;4,MOD(A136,40),IF(A136/10&gt;3,MOD(A136,30),IF(A136/10&gt;2,MOD(A136,20),MOD(A136,100)))))))))</formula>
    </cfRule>
  </conditionalFormatting>
  <conditionalFormatting sqref="A154 A118">
    <cfRule type="expression" priority="184">
      <formula>IF(MOD(#REF!,10)&lt;10,MOD(#REF!,10),IF(#REF!/10&gt;8,MOD(#REF!,80),IF(#REF!/10&gt;7,MOD(#REF!,70),IF(#REF!/10&gt;6,MOD(#REF!,60),IF(#REF!/10&gt;5,MOD(#REF!,50),IF(#REF!/10&gt;4,MOD(#REF!,40),IF(#REF!/10&gt;3,MOD(#REF!,30),IF(#REF!/10&gt;2,MOD(#REF!,20),MOD(#REF!,100)))))))))</formula>
    </cfRule>
  </conditionalFormatting>
  <conditionalFormatting sqref="A140 A128:A135 A142 A144 A146 A148 A150 A152 A154 A156 A158 A160">
    <cfRule type="expression" priority="183">
      <formula>IF(MOD(#REF!,10)&lt;10,MOD(#REF!,10),IF(#REF!/10&gt;8,MOD(#REF!,80),IF(#REF!/10&gt;7,MOD(#REF!,70),IF(#REF!/10&gt;6,MOD(#REF!,60),IF(#REF!/10&gt;5,MOD(#REF!,50),IF(#REF!/10&gt;4,MOD(#REF!,40),IF(#REF!/10&gt;3,MOD(#REF!,30),IF(#REF!/10&gt;2,MOD(#REF!,20),MOD(#REF!,100)))))))))</formula>
    </cfRule>
  </conditionalFormatting>
  <conditionalFormatting sqref="A131:A132">
    <cfRule type="expression" priority="182">
      <formula>IF(MOD(#REF!,10)&lt;10,MOD(#REF!,10),IF(#REF!/10&gt;8,MOD(#REF!,80),IF(#REF!/10&gt;7,MOD(#REF!,70),IF(#REF!/10&gt;6,MOD(#REF!,60),IF(#REF!/10&gt;5,MOD(#REF!,50),IF(#REF!/10&gt;4,MOD(#REF!,40),IF(#REF!/10&gt;3,MOD(#REF!,30),IF(#REF!/10&gt;2,MOD(#REF!,20),MOD(#REF!,100)))))))))</formula>
    </cfRule>
  </conditionalFormatting>
  <conditionalFormatting sqref="A140 A142 A144">
    <cfRule type="expression" priority="177">
      <formula>IF(MOD(A155,10)&lt;10,MOD(A155,10),IF(A155/10&gt;8,MOD(A155,80),IF(A155/10&gt;7,MOD(A155,70),IF(A155/10&gt;6,MOD(A155,60),IF(A155/10&gt;5,MOD(A155,50),IF(A155/10&gt;4,MOD(A155,40),IF(A155/10&gt;3,MOD(A155,30),IF(A155/10&gt;2,MOD(A155,20),MOD(A155,100)))))))))</formula>
    </cfRule>
  </conditionalFormatting>
  <conditionalFormatting sqref="A138:A139 A141 A143:A145 A147 A149 A151 A153 A155 A159 A157 A118 A178:A183">
    <cfRule type="expression" priority="174">
      <formula>IF(MOD(#REF!,10)&lt;10,MOD(#REF!,10),IF(#REF!/10&gt;8,MOD(#REF!,80),IF(#REF!/10&gt;7,MOD(#REF!,70),IF(#REF!/10&gt;6,MOD(#REF!,60),IF(#REF!/10&gt;5,MOD(#REF!,50),IF(#REF!/10&gt;4,MOD(#REF!,40),IF(#REF!/10&gt;3,MOD(#REF!,30),IF(#REF!/10&gt;2,MOD(#REF!,20),MOD(#REF!,100)))))))))</formula>
    </cfRule>
  </conditionalFormatting>
  <conditionalFormatting sqref="A144:A146">
    <cfRule type="expression" priority="171">
      <formula>IF(MOD(A155,10)&lt;10,MOD(A155,10),IF(A155/10&gt;8,MOD(A155,80),IF(A155/10&gt;7,MOD(A155,70),IF(A155/10&gt;6,MOD(A155,60),IF(A155/10&gt;5,MOD(A155,50),IF(A155/10&gt;4,MOD(A155,40),IF(A155/10&gt;3,MOD(A155,30),IF(A155/10&gt;2,MOD(A155,20),MOD(A155,100)))))))))</formula>
    </cfRule>
  </conditionalFormatting>
  <conditionalFormatting sqref="A143">
    <cfRule type="expression" priority="170">
      <formula>IF(MOD(A155,10)&lt;10,MOD(A155,10),IF(A155/10&gt;8,MOD(A155,80),IF(A155/10&gt;7,MOD(A155,70),IF(A155/10&gt;6,MOD(A155,60),IF(A155/10&gt;5,MOD(A155,50),IF(A155/10&gt;4,MOD(A155,40),IF(A155/10&gt;3,MOD(A155,30),IF(A155/10&gt;2,MOD(A155,20),MOD(A155,100)))))))))</formula>
    </cfRule>
  </conditionalFormatting>
  <conditionalFormatting sqref="B148:B149">
    <cfRule type="expression" dxfId="184" priority="168">
      <formula>IF($E133&lt;&gt;$I$11,IF($E133&lt;&gt;$I$12,IF($E133&lt;&gt;$I$13,IF($E133&lt;&gt;$J$11,IF($E133&lt;&gt;$J$12,IF($E133&lt;&gt;$J$13,IF($E133&lt;&gt;#REF!,IF($E133&lt;&gt;#REF!,IF($E133&lt;&gt;#REF!,IF($E133&lt;&gt;#REF!,IF($E133&lt;&gt;#REF!,TRUE)))))))))))</formula>
    </cfRule>
  </conditionalFormatting>
  <conditionalFormatting sqref="C148:C149">
    <cfRule type="duplicateValues" dxfId="183" priority="167"/>
  </conditionalFormatting>
  <conditionalFormatting sqref="A136">
    <cfRule type="expression" priority="166">
      <formula>IF(MOD(A151,10)&lt;10,MOD(A151,10),IF(A151/10&gt;8,MOD(A151,80),IF(A151/10&gt;7,MOD(A151,70),IF(A151/10&gt;6,MOD(A151,60),IF(A151/10&gt;5,MOD(A151,50),IF(A151/10&gt;4,MOD(A151,40),IF(A151/10&gt;3,MOD(A151,30),IF(A151/10&gt;2,MOD(A151,20),MOD(A151,100)))))))))</formula>
    </cfRule>
  </conditionalFormatting>
  <conditionalFormatting sqref="C161:C162">
    <cfRule type="duplicateValues" dxfId="182" priority="154"/>
  </conditionalFormatting>
  <conditionalFormatting sqref="A146 A175:A176">
    <cfRule type="expression" priority="148">
      <formula>IF(MOD(A160,10)&lt;10,MOD(A160,10),IF(A160/10&gt;8,MOD(A160,80),IF(A160/10&gt;7,MOD(A160,70),IF(A160/10&gt;6,MOD(A160,60),IF(A160/10&gt;5,MOD(A160,50),IF(A160/10&gt;4,MOD(A160,40),IF(A160/10&gt;3,MOD(A160,30),IF(A160/10&gt;2,MOD(A160,20),MOD(A160,100)))))))))</formula>
    </cfRule>
  </conditionalFormatting>
  <conditionalFormatting sqref="A137:A138">
    <cfRule type="expression" priority="467">
      <formula>IF(MOD(#REF!,10)&lt;10,MOD(#REF!,10),IF(#REF!/10&gt;8,MOD(#REF!,80),IF(#REF!/10&gt;7,MOD(#REF!,70),IF(#REF!/10&gt;6,MOD(#REF!,60),IF(#REF!/10&gt;5,MOD(#REF!,50),IF(#REF!/10&gt;4,MOD(#REF!,40),IF(#REF!/10&gt;3,MOD(#REF!,30),IF(#REF!/10&gt;2,MOD(#REF!,20),MOD(#REF!,100)))))))))</formula>
    </cfRule>
  </conditionalFormatting>
  <conditionalFormatting sqref="E268 E191:E192 E183:E184 E181 E177:E178 E169 E172:E174 E166:E167 E163:E164 E159 E120 E135 E132:E133 E122 E125:E126">
    <cfRule type="expression" dxfId="181" priority="138">
      <formula>IF(ISBLANK(E120),FALSE,IF(IF(ISNUMBER($G$8),IF(YEAR(TODAY())-$G$8&lt;=E120,FALSE,TRUE),FALSE),TRUE,IF(ISNUMBER($E$8),IF(YEAR(TODAY())-$E$8&lt;E120,TRUE,FALSE),FALSE)))</formula>
    </cfRule>
  </conditionalFormatting>
  <conditionalFormatting sqref="A189:A191 A182 A174 A154 A148 A134 A127 A120">
    <cfRule type="expression" priority="132">
      <formula>IF(MOD(#REF!,10)&lt;10,MOD(#REF!,10),IF(#REF!/10&gt;8,MOD(#REF!,80),IF(#REF!/10&gt;7,MOD(#REF!,70),IF(#REF!/10&gt;6,MOD(#REF!,60),IF(#REF!/10&gt;5,MOD(#REF!,50),IF(#REF!/10&gt;4,MOD(#REF!,40),IF(#REF!/10&gt;3,MOD(#REF!,30),IF(#REF!/10&gt;2,MOD(#REF!,20),MOD(#REF!,100)))))))))</formula>
    </cfRule>
  </conditionalFormatting>
  <conditionalFormatting sqref="A149">
    <cfRule type="expression" priority="130">
      <formula>IF(MOD(A184,10)&lt;10,MOD(A184,10),IF(A184/10&gt;8,MOD(A184,80),IF(A184/10&gt;7,MOD(A184,70),IF(A184/10&gt;6,MOD(A184,60),IF(A184/10&gt;5,MOD(A184,50),IF(A184/10&gt;4,MOD(A184,40),IF(A184/10&gt;3,MOD(A184,30),IF(A184/10&gt;2,MOD(A184,20),MOD(A184,100)))))))))</formula>
    </cfRule>
  </conditionalFormatting>
  <conditionalFormatting sqref="A141">
    <cfRule type="expression" priority="128">
      <formula>IF(MOD(A177,10)&lt;10,MOD(A177,10),IF(A177/10&gt;8,MOD(A177,80),IF(A177/10&gt;7,MOD(A177,70),IF(A177/10&gt;6,MOD(A177,60),IF(A177/10&gt;5,MOD(A177,50),IF(A177/10&gt;4,MOD(A177,40),IF(A177/10&gt;3,MOD(A177,30),IF(A177/10&gt;2,MOD(A177,20),MOD(A177,100)))))))))</formula>
    </cfRule>
  </conditionalFormatting>
  <conditionalFormatting sqref="A267:A268">
    <cfRule type="expression" priority="118">
      <formula>IF(MOD(A291,10)&lt;10,MOD(A291,10),IF(A291/10&gt;8,MOD(A291,80),IF(A291/10&gt;7,MOD(A291,70),IF(A291/10&gt;6,MOD(A291,60),IF(A291/10&gt;5,MOD(A291,50),IF(A291/10&gt;4,MOD(A291,40),IF(A291/10&gt;3,MOD(A291,30),IF(A291/10&gt;2,MOD(A291,20),MOD(A291,100)))))))))</formula>
    </cfRule>
  </conditionalFormatting>
  <conditionalFormatting sqref="E275 E267:E269 E194:E195 E119 E185:E186 E263:E264 E253:E261">
    <cfRule type="expression" dxfId="180" priority="113">
      <formula>IF(ISBLANK(E119),FALSE,IF(IF(ISNUMBER($E$8),IF(YEAR(TODAY())-$E$8&lt;=E119,FALSE,TRUE),FALSE),TRUE,IF(ISNUMBER($H$8),IF(YEAR(TODAY())-$H$8&lt;E119,TRUE,FALSE),FALSE)))</formula>
    </cfRule>
  </conditionalFormatting>
  <conditionalFormatting sqref="G119">
    <cfRule type="expression" dxfId="179" priority="112">
      <formula>IF(G119&gt;($H$6+$H$7-#REF!),IF((G119+#REF!)&gt;($H$6+$H$7),TRUE,))</formula>
    </cfRule>
  </conditionalFormatting>
  <conditionalFormatting sqref="B264 B260:B261">
    <cfRule type="expression" dxfId="178" priority="111">
      <formula>IF(#REF!&lt;&gt;$I$6,IF(#REF!&lt;&gt;$I$7,IF(#REF!&lt;&gt;$I$8,IF(#REF!&lt;&gt;$J$6,IF(#REF!&lt;&gt;$J$7,IF(#REF!&lt;&gt;$J$8,IF(#REF!&lt;&gt;#REF!,IF(#REF!&lt;&gt;#REF!,IF(#REF!&lt;&gt;#REF!,IF(#REF!&lt;&gt;#REF!,IF(#REF!&lt;&gt;#REF!,TRUE)))))))))))</formula>
    </cfRule>
  </conditionalFormatting>
  <conditionalFormatting sqref="A109 A113">
    <cfRule type="expression" priority="107">
      <formula>IF(MOD(A148,10)&lt;10,MOD(A148,10),IF(A148/10&gt;8,MOD(A148,80),IF(A148/10&gt;7,MOD(A148,70),IF(A148/10&gt;6,MOD(A148,60),IF(A148/10&gt;5,MOD(A148,50),IF(A148/10&gt;4,MOD(A148,40),IF(A148/10&gt;3,MOD(A148,30),IF(A148/10&gt;2,MOD(A148,20),MOD(A148,100)))))))))</formula>
    </cfRule>
  </conditionalFormatting>
  <conditionalFormatting sqref="A185:A186 A152:A153 A198">
    <cfRule type="expression" priority="106">
      <formula>IF(MOD(#REF!,10)&lt;10,MOD(#REF!,10),IF(#REF!/10&gt;8,MOD(#REF!,80),IF(#REF!/10&gt;7,MOD(#REF!,70),IF(#REF!/10&gt;6,MOD(#REF!,60),IF(#REF!/10&gt;5,MOD(#REF!,50),IF(#REF!/10&gt;4,MOD(#REF!,40),IF(#REF!/10&gt;3,MOD(#REF!,30),IF(#REF!/10&gt;2,MOD(#REF!,20),MOD(#REF!,100)))))))))</formula>
    </cfRule>
  </conditionalFormatting>
  <conditionalFormatting sqref="A110 A114">
    <cfRule type="expression" priority="105">
      <formula>IF(MOD(#REF!,10)&lt;10,MOD(#REF!,10),IF(#REF!/10&gt;8,MOD(#REF!,80),IF(#REF!/10&gt;7,MOD(#REF!,70),IF(#REF!/10&gt;6,MOD(#REF!,60),IF(#REF!/10&gt;5,MOD(#REF!,50),IF(#REF!/10&gt;4,MOD(#REF!,40),IF(#REF!/10&gt;3,MOD(#REF!,30),IF(#REF!/10&gt;2,MOD(#REF!,20),MOD(#REF!,100)))))))))</formula>
    </cfRule>
  </conditionalFormatting>
  <conditionalFormatting sqref="B185">
    <cfRule type="expression" dxfId="177" priority="100">
      <formula>IF(#REF!&lt;&gt;$I$6,IF(#REF!&lt;&gt;$I$7,IF(#REF!&lt;&gt;$I$8,IF(#REF!&lt;&gt;$J$6,IF(#REF!&lt;&gt;$J$7,IF(#REF!&lt;&gt;$J$8,IF(#REF!&lt;&gt;#REF!,IF(#REF!&lt;&gt;#REF!,IF(#REF!&lt;&gt;#REF!,IF(#REF!&lt;&gt;#REF!,IF(#REF!&lt;&gt;#REF!,TRUE)))))))))))</formula>
    </cfRule>
  </conditionalFormatting>
  <conditionalFormatting sqref="A194 A150:A151">
    <cfRule type="expression" priority="86">
      <formula>IF(MOD(#REF!,10)&lt;10,MOD(#REF!,10),IF(#REF!/10&gt;8,MOD(#REF!,80),IF(#REF!/10&gt;7,MOD(#REF!,70),IF(#REF!/10&gt;6,MOD(#REF!,60),IF(#REF!/10&gt;5,MOD(#REF!,50),IF(#REF!/10&gt;4,MOD(#REF!,40),IF(#REF!/10&gt;3,MOD(#REF!,30),IF(#REF!/10&gt;2,MOD(#REF!,20),MOD(#REF!,100)))))))))</formula>
    </cfRule>
  </conditionalFormatting>
  <conditionalFormatting sqref="A163 A140 A131:A132 A124:A125 A142 A144:A146 A148 A150 A152 A154 A156 A158 A160">
    <cfRule type="expression" priority="77">
      <formula>IF(MOD(#REF!,10)&lt;10,MOD(#REF!,10),IF(#REF!/10&gt;8,MOD(#REF!,80),IF(#REF!/10&gt;7,MOD(#REF!,70),IF(#REF!/10&gt;6,MOD(#REF!,60),IF(#REF!/10&gt;5,MOD(#REF!,50),IF(#REF!/10&gt;4,MOD(#REF!,40),IF(#REF!/10&gt;3,MOD(#REF!,30),IF(#REF!/10&gt;2,MOD(#REF!,20),MOD(#REF!,100)))))))))</formula>
    </cfRule>
  </conditionalFormatting>
  <conditionalFormatting sqref="B178">
    <cfRule type="expression" dxfId="176" priority="74">
      <formula>IF(#REF!&lt;&gt;$H$6,IF(#REF!&lt;&gt;$H$7,IF(#REF!&lt;&gt;$H$8,IF(#REF!&lt;&gt;$I$6,IF(B178&lt;&gt;$I$7,IF(#REF!&lt;&gt;$I$8,IF(#REF!&lt;&gt;$L$6,IF(#REF!&lt;&gt;$L$7,IF(#REF!&lt;&gt;$L$8,IF(#REF!&lt;&gt;$N$6,IF(#REF!&lt;&gt;$N$7,TRUE)))))))))))</formula>
    </cfRule>
  </conditionalFormatting>
  <conditionalFormatting sqref="A117 A141 A143 A145 A147">
    <cfRule type="expression" priority="72">
      <formula>IF(MOD(A154,10)&lt;10,MOD(A154,10),IF(A154/10&gt;8,MOD(A154,80),IF(A154/10&gt;7,MOD(A154,70),IF(A154/10&gt;6,MOD(A154,60),IF(A154/10&gt;5,MOD(A154,50),IF(A154/10&gt;4,MOD(A154,40),IF(A154/10&gt;3,MOD(A154,30),IF(A154/10&gt;2,MOD(A154,20),MOD(A154,100)))))))))</formula>
    </cfRule>
  </conditionalFormatting>
  <conditionalFormatting sqref="B183:B184 B165 B135 B133">
    <cfRule type="expression" dxfId="175" priority="71">
      <formula>IF(#REF!&lt;&gt;$H$6,IF(#REF!&lt;&gt;$H$7,IF(#REF!&lt;&gt;$H$8,IF(#REF!&lt;&gt;$I$6,IF(B133&lt;&gt;$I$7,IF(#REF!&lt;&gt;$I$8,IF(#REF!&lt;&gt;$L$6,IF(#REF!&lt;&gt;$L$7,IF(#REF!&lt;&gt;$L$8,IF(#REF!&lt;&gt;$N$6,IF(#REF!&lt;&gt;$N$7,TRUE)))))))))))</formula>
    </cfRule>
  </conditionalFormatting>
  <conditionalFormatting sqref="A136">
    <cfRule type="expression" priority="67">
      <formula>IF(MOD(A170,10)&lt;10,MOD(A170,10),IF(A170/10&gt;8,MOD(A170,80),IF(A170/10&gt;7,MOD(A170,70),IF(A170/10&gt;6,MOD(A170,60),IF(A170/10&gt;5,MOD(A170,50),IF(A170/10&gt;4,MOD(A170,40),IF(A170/10&gt;3,MOD(A170,30),IF(A170/10&gt;2,MOD(A170,20),MOD(A170,100)))))))))</formula>
    </cfRule>
  </conditionalFormatting>
  <conditionalFormatting sqref="A139">
    <cfRule type="expression" priority="65">
      <formula>IF(MOD(A176,10)&lt;10,MOD(A176,10),IF(A176/10&gt;8,MOD(A176,80),IF(A176/10&gt;7,MOD(A176,70),IF(A176/10&gt;6,MOD(A176,60),IF(A176/10&gt;5,MOD(A176,50),IF(A176/10&gt;4,MOD(A176,40),IF(A176/10&gt;3,MOD(A176,30),IF(A176/10&gt;2,MOD(A176,20),MOD(A176,100)))))))))</formula>
    </cfRule>
  </conditionalFormatting>
  <conditionalFormatting sqref="A147">
    <cfRule type="expression" priority="64">
      <formula>IF(MOD(A183,10)&lt;10,MOD(A183,10),IF(A183/10&gt;8,MOD(A183,80),IF(A183/10&gt;7,MOD(A183,70),IF(A183/10&gt;6,MOD(A183,60),IF(A183/10&gt;5,MOD(A183,50),IF(A183/10&gt;4,MOD(A183,40),IF(A183/10&gt;3,MOD(A183,30),IF(A183/10&gt;2,MOD(A183,20),MOD(A183,100)))))))))</formula>
    </cfRule>
  </conditionalFormatting>
  <conditionalFormatting sqref="A159:A160 A164:A182">
    <cfRule type="expression" priority="62">
      <formula>IF(MOD(#REF!,10)&lt;10,MOD(#REF!,10),IF(#REF!/10&gt;8,MOD(#REF!,80),IF(#REF!/10&gt;7,MOD(#REF!,70),IF(#REF!/10&gt;6,MOD(#REF!,60),IF(#REF!/10&gt;5,MOD(#REF!,50),IF(#REF!/10&gt;4,MOD(#REF!,40),IF(#REF!/10&gt;3,MOD(#REF!,30),IF(#REF!/10&gt;2,MOD(#REF!,20),MOD(#REF!,100)))))))))</formula>
    </cfRule>
  </conditionalFormatting>
  <conditionalFormatting sqref="B172:B173">
    <cfRule type="expression" dxfId="174" priority="53">
      <formula>IF(#REF!&lt;&gt;$H$6,IF(#REF!&lt;&gt;$H$7,IF(#REF!&lt;&gt;$H$8,IF(#REF!&lt;&gt;$I$6,IF(B172&lt;&gt;$I$7,IF(#REF!&lt;&gt;$I$8,IF(#REF!&lt;&gt;$L$6,IF(#REF!&lt;&gt;$L$7,IF(#REF!&lt;&gt;$L$8,IF(#REF!&lt;&gt;$N$6,IF(#REF!&lt;&gt;$N$7,TRUE)))))))))))</formula>
    </cfRule>
  </conditionalFormatting>
  <conditionalFormatting sqref="A142:A143">
    <cfRule type="expression" priority="51">
      <formula>IF(MOD(#REF!,10)&lt;10,MOD(#REF!,10),IF(#REF!/10&gt;8,MOD(#REF!,80),IF(#REF!/10&gt;7,MOD(#REF!,70),IF(#REF!/10&gt;6,MOD(#REF!,60),IF(#REF!/10&gt;5,MOD(#REF!,50),IF(#REF!/10&gt;4,MOD(#REF!,40),IF(#REF!/10&gt;3,MOD(#REF!,30),IF(#REF!/10&gt;2,MOD(#REF!,20),MOD(#REF!,100)))))))))</formula>
    </cfRule>
  </conditionalFormatting>
  <conditionalFormatting sqref="B164">
    <cfRule type="expression" dxfId="173" priority="49">
      <formula>IF(#REF!&lt;&gt;$H$6,IF(#REF!&lt;&gt;$H$7,IF(#REF!&lt;&gt;$H$8,IF(#REF!&lt;&gt;$I$6,IF(B164&lt;&gt;$I$7,IF(#REF!&lt;&gt;$I$8,IF(#REF!&lt;&gt;$L$6,IF(#REF!&lt;&gt;$L$7,IF(#REF!&lt;&gt;$L$8,IF(#REF!&lt;&gt;$N$6,IF(#REF!&lt;&gt;$N$7,TRUE)))))))))))</formula>
    </cfRule>
  </conditionalFormatting>
  <conditionalFormatting sqref="B163">
    <cfRule type="expression" dxfId="172" priority="48">
      <formula>IF(#REF!&lt;&gt;$H$6,IF(#REF!&lt;&gt;$H$7,IF(#REF!&lt;&gt;$H$8,IF(#REF!&lt;&gt;$I$6,IF(B163&lt;&gt;$I$7,IF(#REF!&lt;&gt;$I$8,IF(#REF!&lt;&gt;$L$6,IF(#REF!&lt;&gt;$L$7,IF(#REF!&lt;&gt;$L$8,IF(#REF!&lt;&gt;$N$6,IF(#REF!&lt;&gt;$N$7,TRUE)))))))))))</formula>
    </cfRule>
  </conditionalFormatting>
  <conditionalFormatting sqref="A170:A172">
    <cfRule type="expression" priority="46">
      <formula>IF(MOD(#REF!,10)&lt;10,MOD(#REF!,10),IF(#REF!/10&gt;8,MOD(#REF!,80),IF(#REF!/10&gt;7,MOD(#REF!,70),IF(#REF!/10&gt;6,MOD(#REF!,60),IF(#REF!/10&gt;5,MOD(#REF!,50),IF(#REF!/10&gt;4,MOD(#REF!,40),IF(#REF!/10&gt;3,MOD(#REF!,30),IF(#REF!/10&gt;2,MOD(#REF!,20),MOD(#REF!,100)))))))))</formula>
    </cfRule>
  </conditionalFormatting>
  <conditionalFormatting sqref="A173">
    <cfRule type="expression" priority="43">
      <formula>IF(MOD(A188,10)&lt;10,MOD(A188,10),IF(A188/10&gt;8,MOD(A188,80),IF(A188/10&gt;7,MOD(A188,70),IF(A188/10&gt;6,MOD(A188,60),IF(A188/10&gt;5,MOD(A188,50),IF(A188/10&gt;4,MOD(A188,40),IF(A188/10&gt;3,MOD(A188,30),IF(A188/10&gt;2,MOD(A188,20),MOD(A188,100)))))))))</formula>
    </cfRule>
  </conditionalFormatting>
  <conditionalFormatting sqref="A111:A113 A115:A116">
    <cfRule type="expression" priority="23">
      <formula>IF(MOD(A149,10)&lt;10,MOD(A149,10),IF(A149/10&gt;8,MOD(A149,80),IF(A149/10&gt;7,MOD(A149,70),IF(A149/10&gt;6,MOD(A149,60),IF(A149/10&gt;5,MOD(A149,50),IF(A149/10&gt;4,MOD(A149,40),IF(A149/10&gt;3,MOD(A149,30),IF(A149/10&gt;2,MOD(A149,20),MOD(A149,100)))))))))</formula>
    </cfRule>
  </conditionalFormatting>
  <conditionalFormatting sqref="A137">
    <cfRule type="expression" priority="17">
      <formula>IF(MOD(A140,10)&lt;10,MOD(A140,10),IF(A140/10&gt;8,MOD(A140,80),IF(A140/10&gt;7,MOD(A140,70),IF(A140/10&gt;6,MOD(A140,60),IF(A140/10&gt;5,MOD(A140,50),IF(A140/10&gt;4,MOD(A140,40),IF(A140/10&gt;3,MOD(A140,30),IF(A140/10&gt;2,MOD(A140,20),MOD(A140,100)))))))))</formula>
    </cfRule>
  </conditionalFormatting>
  <conditionalFormatting sqref="B167">
    <cfRule type="expression" dxfId="171" priority="12">
      <formula>IF(#REF!&lt;&gt;$H$6,IF(#REF!&lt;&gt;$H$7,IF(#REF!&lt;&gt;$H$8,IF(#REF!&lt;&gt;$I$6,IF(B167&lt;&gt;$I$7,IF(#REF!&lt;&gt;$I$8,IF(#REF!&lt;&gt;$L$6,IF(#REF!&lt;&gt;$L$7,IF(#REF!&lt;&gt;$L$8,IF(#REF!&lt;&gt;$N$6,IF(#REF!&lt;&gt;$N$7,TRUE)))))))))))</formula>
    </cfRule>
  </conditionalFormatting>
  <conditionalFormatting sqref="C107:C108">
    <cfRule type="duplicateValues" dxfId="170" priority="470"/>
  </conditionalFormatting>
  <conditionalFormatting sqref="A159">
    <cfRule type="expression" priority="551">
      <formula>IF(MOD(A165,10)&lt;10,MOD(A165,10),IF(A165/10&gt;8,MOD(A165,80),IF(A165/10&gt;7,MOD(A165,70),IF(A165/10&gt;6,MOD(A165,60),IF(A165/10&gt;5,MOD(A165,50),IF(A165/10&gt;4,MOD(A165,40),IF(A165/10&gt;3,MOD(A165,30),IF(A165/10&gt;2,MOD(A165,20),MOD(A165,100)))))))))</formula>
    </cfRule>
  </conditionalFormatting>
  <conditionalFormatting sqref="A166:A167 A117">
    <cfRule type="expression" priority="718">
      <formula>IF(MOD(#REF!,10)&lt;10,MOD(#REF!,10),IF(#REF!/10&gt;8,MOD(#REF!,80),IF(#REF!/10&gt;7,MOD(#REF!,70),IF(#REF!/10&gt;6,MOD(#REF!,60),IF(#REF!/10&gt;5,MOD(#REF!,50),IF(#REF!/10&gt;4,MOD(#REF!,40),IF(#REF!/10&gt;3,MOD(#REF!,30),IF(#REF!/10&gt;2,MOD(#REF!,20),MOD(#REF!,100)))))))))</formula>
    </cfRule>
  </conditionalFormatting>
  <conditionalFormatting sqref="A126:A127">
    <cfRule type="expression" priority="725">
      <formula>IF(MOD(#REF!,10)&lt;10,MOD(#REF!,10),IF(#REF!/10&gt;8,MOD(#REF!,80),IF(#REF!/10&gt;7,MOD(#REF!,70),IF(#REF!/10&gt;6,MOD(#REF!,60),IF(#REF!/10&gt;5,MOD(#REF!,50),IF(#REF!/10&gt;4,MOD(#REF!,40),IF(#REF!/10&gt;3,MOD(#REF!,30),IF(#REF!/10&gt;2,MOD(#REF!,20),MOD(#REF!,100)))))))))</formula>
    </cfRule>
  </conditionalFormatting>
  <conditionalFormatting sqref="A126">
    <cfRule type="expression" priority="780">
      <formula>IF(MOD(#REF!,10)&lt;10,MOD(#REF!,10),IF(#REF!/10&gt;8,MOD(#REF!,80),IF(#REF!/10&gt;7,MOD(#REF!,70),IF(#REF!/10&gt;6,MOD(#REF!,60),IF(#REF!/10&gt;5,MOD(#REF!,50),IF(#REF!/10&gt;4,MOD(#REF!,40),IF(#REF!/10&gt;3,MOD(#REF!,30),IF(#REF!/10&gt;2,MOD(#REF!,20),MOD(#REF!,100)))))))))</formula>
    </cfRule>
  </conditionalFormatting>
  <conditionalFormatting sqref="A160 A158">
    <cfRule type="expression" priority="947">
      <formula>IF(MOD(A163,10)&lt;10,MOD(A163,10),IF(A163/10&gt;8,MOD(A163,80),IF(A163/10&gt;7,MOD(A163,70),IF(A163/10&gt;6,MOD(A163,60),IF(A163/10&gt;5,MOD(A163,50),IF(A163/10&gt;4,MOD(A163,40),IF(A163/10&gt;3,MOD(A163,30),IF(A163/10&gt;2,MOD(A163,20),MOD(A163,100)))))))))</formula>
    </cfRule>
  </conditionalFormatting>
  <conditionalFormatting sqref="A138 A192:A193">
    <cfRule type="expression" priority="1581">
      <formula>IF(MOD(#REF!,10)&lt;10,MOD(#REF!,10),IF(#REF!/10&gt;8,MOD(#REF!,80),IF(#REF!/10&gt;7,MOD(#REF!,70),IF(#REF!/10&gt;6,MOD(#REF!,60),IF(#REF!/10&gt;5,MOD(#REF!,50),IF(#REF!/10&gt;4,MOD(#REF!,40),IF(#REF!/10&gt;3,MOD(#REF!,30),IF(#REF!/10&gt;2,MOD(#REF!,20),MOD(#REF!,100)))))))))</formula>
    </cfRule>
  </conditionalFormatting>
  <conditionalFormatting sqref="A160 A112:A113 A116">
    <cfRule type="expression" priority="1637">
      <formula>IF(MOD(#REF!,10)&lt;10,MOD(#REF!,10),IF(#REF!/10&gt;8,MOD(#REF!,80),IF(#REF!/10&gt;7,MOD(#REF!,70),IF(#REF!/10&gt;6,MOD(#REF!,60),IF(#REF!/10&gt;5,MOD(#REF!,50),IF(#REF!/10&gt;4,MOD(#REF!,40),IF(#REF!/10&gt;3,MOD(#REF!,30),IF(#REF!/10&gt;2,MOD(#REF!,20),MOD(#REF!,100)))))))))</formula>
    </cfRule>
  </conditionalFormatting>
  <conditionalFormatting sqref="A163:A164 A166 A168 A170 A172 A174 A176 A178 A180 A156:A158 A137 A160">
    <cfRule type="expression" priority="1901">
      <formula>IF(MOD(#REF!,10)&lt;10,MOD(#REF!,10),IF(#REF!/10&gt;8,MOD(#REF!,80),IF(#REF!/10&gt;7,MOD(#REF!,70),IF(#REF!/10&gt;6,MOD(#REF!,60),IF(#REF!/10&gt;5,MOD(#REF!,50),IF(#REF!/10&gt;4,MOD(#REF!,40),IF(#REF!/10&gt;3,MOD(#REF!,30),IF(#REF!/10&gt;2,MOD(#REF!,20),MOD(#REF!,100)))))))))</formula>
    </cfRule>
  </conditionalFormatting>
  <conditionalFormatting sqref="B191">
    <cfRule type="expression" dxfId="169" priority="2185">
      <formula>IF($B186&lt;&gt;$H$6,IF($B186&lt;&gt;$H$7,IF($B186&lt;&gt;$H$8,IF($B186&lt;&gt;$I$6,IF(B191&lt;&gt;$I$7,IF($B186&lt;&gt;$I$8,IF($B186&lt;&gt;$L$6,IF($B186&lt;&gt;$L$7,IF($B186&lt;&gt;$L$8,IF($B186&lt;&gt;$N$6,IF($B186&lt;&gt;$N$7,TRUE)))))))))))</formula>
    </cfRule>
  </conditionalFormatting>
  <conditionalFormatting sqref="A169:A172 A133">
    <cfRule type="expression" priority="2612">
      <formula>IF(MOD(#REF!,10)&lt;10,MOD(#REF!,10),IF(#REF!/10&gt;8,MOD(#REF!,80),IF(#REF!/10&gt;7,MOD(#REF!,70),IF(#REF!/10&gt;6,MOD(#REF!,60),IF(#REF!/10&gt;5,MOD(#REF!,50),IF(#REF!/10&gt;4,MOD(#REF!,40),IF(#REF!/10&gt;3,MOD(#REF!,30),IF(#REF!/10&gt;2,MOD(#REF!,20),MOD(#REF!,100)))))))))</formula>
    </cfRule>
  </conditionalFormatting>
  <conditionalFormatting sqref="A127">
    <cfRule type="expression" priority="2914">
      <formula>IF(MOD(#REF!,10)&lt;10,MOD(#REF!,10),IF(#REF!/10&gt;8,MOD(#REF!,80),IF(#REF!/10&gt;7,MOD(#REF!,70),IF(#REF!/10&gt;6,MOD(#REF!,60),IF(#REF!/10&gt;5,MOD(#REF!,50),IF(#REF!/10&gt;4,MOD(#REF!,40),IF(#REF!/10&gt;3,MOD(#REF!,30),IF(#REF!/10&gt;2,MOD(#REF!,20),MOD(#REF!,100)))))))))</formula>
    </cfRule>
  </conditionalFormatting>
  <conditionalFormatting sqref="A144">
    <cfRule type="expression" priority="3406">
      <formula>IF(MOD(A154,10)&lt;10,MOD(A154,10),IF(A154/10&gt;8,MOD(A154,80),IF(A154/10&gt;7,MOD(A154,70),IF(A154/10&gt;6,MOD(A154,60),IF(A154/10&gt;5,MOD(A154,50),IF(A154/10&gt;4,MOD(A154,40),IF(A154/10&gt;3,MOD(A154,30),IF(A154/10&gt;2,MOD(A154,20),MOD(A154,100)))))))))</formula>
    </cfRule>
  </conditionalFormatting>
  <conditionalFormatting sqref="H191:H192">
    <cfRule type="expression" dxfId="168" priority="4156">
      <formula>IF(ISNUMBER(H191),IF(((YEAR(TODAY()))-12)&gt;=E191,FALSE,TRUE))</formula>
    </cfRule>
  </conditionalFormatting>
  <conditionalFormatting sqref="A133">
    <cfRule type="expression" priority="4850">
      <formula>IF(MOD(#REF!,10)&lt;10,MOD(#REF!,10),IF(#REF!/10&gt;8,MOD(#REF!,80),IF(#REF!/10&gt;7,MOD(#REF!,70),IF(#REF!/10&gt;6,MOD(#REF!,60),IF(#REF!/10&gt;5,MOD(#REF!,50),IF(#REF!/10&gt;4,MOD(#REF!,40),IF(#REF!/10&gt;3,MOD(#REF!,30),IF(#REF!/10&gt;2,MOD(#REF!,20),MOD(#REF!,100)))))))))</formula>
    </cfRule>
  </conditionalFormatting>
  <conditionalFormatting sqref="A114:A116">
    <cfRule type="expression" priority="4872">
      <formula>IF(MOD(#REF!,10)&lt;10,MOD(#REF!,10),IF(#REF!/10&gt;8,MOD(#REF!,80),IF(#REF!/10&gt;7,MOD(#REF!,70),IF(#REF!/10&gt;6,MOD(#REF!,60),IF(#REF!/10&gt;5,MOD(#REF!,50),IF(#REF!/10&gt;4,MOD(#REF!,40),IF(#REF!/10&gt;3,MOD(#REF!,30),IF(#REF!/10&gt;2,MOD(#REF!,20),MOD(#REF!,100)))))))))</formula>
    </cfRule>
  </conditionalFormatting>
  <conditionalFormatting sqref="A121">
    <cfRule type="expression" priority="4887">
      <formula>IF(MOD(#REF!,10)&lt;10,MOD(#REF!,10),IF(#REF!/10&gt;8,MOD(#REF!,80),IF(#REF!/10&gt;7,MOD(#REF!,70),IF(#REF!/10&gt;6,MOD(#REF!,60),IF(#REF!/10&gt;5,MOD(#REF!,50),IF(#REF!/10&gt;4,MOD(#REF!,40),IF(#REF!/10&gt;3,MOD(#REF!,30),IF(#REF!/10&gt;2,MOD(#REF!,20),MOD(#REF!,100)))))))))</formula>
    </cfRule>
  </conditionalFormatting>
  <conditionalFormatting sqref="C137">
    <cfRule type="duplicateValues" dxfId="167" priority="4920"/>
  </conditionalFormatting>
  <conditionalFormatting sqref="A118:A119">
    <cfRule type="expression" priority="4979">
      <formula>IF(MOD(#REF!,10)&lt;10,MOD(#REF!,10),IF(#REF!/10&gt;8,MOD(#REF!,80),IF(#REF!/10&gt;7,MOD(#REF!,70),IF(#REF!/10&gt;6,MOD(#REF!,60),IF(#REF!/10&gt;5,MOD(#REF!,50),IF(#REF!/10&gt;4,MOD(#REF!,40),IF(#REF!/10&gt;3,MOD(#REF!,30),IF(#REF!/10&gt;2,MOD(#REF!,20),MOD(#REF!,100)))))))))</formula>
    </cfRule>
  </conditionalFormatting>
  <conditionalFormatting sqref="A127 A266:A267">
    <cfRule type="expression" priority="5001">
      <formula>IF(MOD(A147,10)&lt;10,MOD(A147,10),IF(A147/10&gt;8,MOD(A147,80),IF(A147/10&gt;7,MOD(A147,70),IF(A147/10&gt;6,MOD(A147,60),IF(A147/10&gt;5,MOD(A147,50),IF(A147/10&gt;4,MOD(A147,40),IF(A147/10&gt;3,MOD(A147,30),IF(A147/10&gt;2,MOD(A147,20),MOD(A147,100)))))))))</formula>
    </cfRule>
  </conditionalFormatting>
  <conditionalFormatting sqref="A130 A133">
    <cfRule type="expression" priority="5095">
      <formula>IF(MOD(A138,10)&lt;10,MOD(A138,10),IF(A138/10&gt;8,MOD(A138,80),IF(A138/10&gt;7,MOD(A138,70),IF(A138/10&gt;6,MOD(A138,60),IF(A138/10&gt;5,MOD(A138,50),IF(A138/10&gt;4,MOD(A138,40),IF(A138/10&gt;3,MOD(A138,30),IF(A138/10&gt;2,MOD(A138,20),MOD(A138,100)))))))))</formula>
    </cfRule>
  </conditionalFormatting>
  <conditionalFormatting sqref="A181 A147">
    <cfRule type="expression" priority="5132">
      <formula>IF(MOD(#REF!,10)&lt;10,MOD(#REF!,10),IF(#REF!/10&gt;8,MOD(#REF!,80),IF(#REF!/10&gt;7,MOD(#REF!,70),IF(#REF!/10&gt;6,MOD(#REF!,60),IF(#REF!/10&gt;5,MOD(#REF!,50),IF(#REF!/10&gt;4,MOD(#REF!,40),IF(#REF!/10&gt;3,MOD(#REF!,30),IF(#REF!/10&gt;2,MOD(#REF!,20),MOD(#REF!,100)))))))))</formula>
    </cfRule>
  </conditionalFormatting>
  <conditionalFormatting sqref="A146 A148 A150 A152 A154 A156 A158 A160">
    <cfRule type="expression" priority="5198">
      <formula>IF(MOD(#REF!,10)&lt;10,MOD(#REF!,10),IF(#REF!/10&gt;8,MOD(#REF!,80),IF(#REF!/10&gt;7,MOD(#REF!,70),IF(#REF!/10&gt;6,MOD(#REF!,60),IF(#REF!/10&gt;5,MOD(#REF!,50),IF(#REF!/10&gt;4,MOD(#REF!,40),IF(#REF!/10&gt;3,MOD(#REF!,30),IF(#REF!/10&gt;2,MOD(#REF!,20),MOD(#REF!,100)))))))))</formula>
    </cfRule>
  </conditionalFormatting>
  <conditionalFormatting sqref="A121:A131 A197">
    <cfRule type="expression" priority="5238">
      <formula>IF(MOD(#REF!,10)&lt;10,MOD(#REF!,10),IF(#REF!/10&gt;8,MOD(#REF!,80),IF(#REF!/10&gt;7,MOD(#REF!,70),IF(#REF!/10&gt;6,MOD(#REF!,60),IF(#REF!/10&gt;5,MOD(#REF!,50),IF(#REF!/10&gt;4,MOD(#REF!,40),IF(#REF!/10&gt;3,MOD(#REF!,30),IF(#REF!/10&gt;2,MOD(#REF!,20),MOD(#REF!,100)))))))))</formula>
    </cfRule>
  </conditionalFormatting>
  <conditionalFormatting sqref="A132:A133">
    <cfRule type="expression" priority="5239">
      <formula>IF(MOD(A161,10)&lt;10,MOD(A161,10),IF(A161/10&gt;8,MOD(A161,80),IF(A161/10&gt;7,MOD(A161,70),IF(A161/10&gt;6,MOD(A161,60),IF(A161/10&gt;5,MOD(A161,50),IF(A161/10&gt;4,MOD(A161,40),IF(A161/10&gt;3,MOD(A161,30),IF(A161/10&gt;2,MOD(A161,20),MOD(A161,100)))))))))</formula>
    </cfRule>
  </conditionalFormatting>
  <conditionalFormatting sqref="A128:A130">
    <cfRule type="expression" priority="5252">
      <formula>IF(MOD(#REF!,10)&lt;10,MOD(#REF!,10),IF(#REF!/10&gt;8,MOD(#REF!,80),IF(#REF!/10&gt;7,MOD(#REF!,70),IF(#REF!/10&gt;6,MOD(#REF!,60),IF(#REF!/10&gt;5,MOD(#REF!,50),IF(#REF!/10&gt;4,MOD(#REF!,40),IF(#REF!/10&gt;3,MOD(#REF!,30),IF(#REF!/10&gt;2,MOD(#REF!,20),MOD(#REF!,100)))))))))</formula>
    </cfRule>
  </conditionalFormatting>
  <conditionalFormatting sqref="A126">
    <cfRule type="expression" priority="5255">
      <formula>IF(MOD(#REF!,10)&lt;10,MOD(#REF!,10),IF(#REF!/10&gt;8,MOD(#REF!,80),IF(#REF!/10&gt;7,MOD(#REF!,70),IF(#REF!/10&gt;6,MOD(#REF!,60),IF(#REF!/10&gt;5,MOD(#REF!,50),IF(#REF!/10&gt;4,MOD(#REF!,40),IF(#REF!/10&gt;3,MOD(#REF!,30),IF(#REF!/10&gt;2,MOD(#REF!,20),MOD(#REF!,100)))))))))</formula>
    </cfRule>
  </conditionalFormatting>
  <conditionalFormatting sqref="A119">
    <cfRule type="expression" priority="5292">
      <formula>IF(MOD(#REF!,10)&lt;10,MOD(#REF!,10),IF(#REF!/10&gt;8,MOD(#REF!,80),IF(#REF!/10&gt;7,MOD(#REF!,70),IF(#REF!/10&gt;6,MOD(#REF!,60),IF(#REF!/10&gt;5,MOD(#REF!,50),IF(#REF!/10&gt;4,MOD(#REF!,40),IF(#REF!/10&gt;3,MOD(#REF!,30),IF(#REF!/10&gt;2,MOD(#REF!,20),MOD(#REF!,100)))))))))</formula>
    </cfRule>
  </conditionalFormatting>
  <conditionalFormatting sqref="K198">
    <cfRule type="expression" dxfId="166" priority="6553">
      <formula>IF(ISNUMBER(K198),IF(((YEAR(TODAY()))-12)&gt;=#REF!,FALSE,TRUE))</formula>
    </cfRule>
  </conditionalFormatting>
  <conditionalFormatting sqref="A183">
    <cfRule type="expression" priority="6556">
      <formula>IF(MOD(A197,10)&lt;10,MOD(A197,10),IF(A197/10&gt;8,MOD(A197,80),IF(A197/10&gt;7,MOD(A197,70),IF(A197/10&gt;6,MOD(A197,60),IF(A197/10&gt;5,MOD(A197,50),IF(A197/10&gt;4,MOD(A197,40),IF(A197/10&gt;3,MOD(A197,30),IF(A197/10&gt;2,MOD(A197,20),MOD(A197,100)))))))))</formula>
    </cfRule>
  </conditionalFormatting>
  <conditionalFormatting sqref="B269">
    <cfRule type="expression" dxfId="165" priority="6827">
      <formula>IF(#REF!&lt;&gt;$I$6,IF(#REF!&lt;&gt;$I$7,IF(#REF!&lt;&gt;$I$8,IF(#REF!&lt;&gt;$J$6,IF(#REF!&lt;&gt;$J$7,IF(#REF!&lt;&gt;$J$8,IF(#REF!&lt;&gt;#REF!,IF(#REF!&lt;&gt;#REF!,IF(#REF!&lt;&gt;#REF!,IF(#REF!&lt;&gt;#REF!,IF(#REF!&lt;&gt;#REF!,TRUE)))))))))))</formula>
    </cfRule>
  </conditionalFormatting>
  <conditionalFormatting sqref="A191 A188:A189">
    <cfRule type="expression" priority="7606">
      <formula>IF(MOD(#REF!,10)&lt;10,MOD(#REF!,10),IF(#REF!/10&gt;8,MOD(#REF!,80),IF(#REF!/10&gt;7,MOD(#REF!,70),IF(#REF!/10&gt;6,MOD(#REF!,60),IF(#REF!/10&gt;5,MOD(#REF!,50),IF(#REF!/10&gt;4,MOD(#REF!,40),IF(#REF!/10&gt;3,MOD(#REF!,30),IF(#REF!/10&gt;2,MOD(#REF!,20),MOD(#REF!,100)))))))))</formula>
    </cfRule>
  </conditionalFormatting>
  <conditionalFormatting sqref="A190">
    <cfRule type="expression" priority="7824">
      <formula>IF(MOD(#REF!,10)&lt;10,MOD(#REF!,10),IF(#REF!/10&gt;8,MOD(#REF!,80),IF(#REF!/10&gt;7,MOD(#REF!,70),IF(#REF!/10&gt;6,MOD(#REF!,60),IF(#REF!/10&gt;5,MOD(#REF!,50),IF(#REF!/10&gt;4,MOD(#REF!,40),IF(#REF!/10&gt;3,MOD(#REF!,30),IF(#REF!/10&gt;2,MOD(#REF!,20),MOD(#REF!,100)))))))))</formula>
    </cfRule>
  </conditionalFormatting>
  <conditionalFormatting sqref="A189 A187">
    <cfRule type="expression" priority="8007">
      <formula>IF(MOD(#REF!,10)&lt;10,MOD(#REF!,10),IF(#REF!/10&gt;8,MOD(#REF!,80),IF(#REF!/10&gt;7,MOD(#REF!,70),IF(#REF!/10&gt;6,MOD(#REF!,60),IF(#REF!/10&gt;5,MOD(#REF!,50),IF(#REF!/10&gt;4,MOD(#REF!,40),IF(#REF!/10&gt;3,MOD(#REF!,30),IF(#REF!/10&gt;2,MOD(#REF!,20),MOD(#REF!,100)))))))))</formula>
    </cfRule>
  </conditionalFormatting>
  <conditionalFormatting sqref="A192">
    <cfRule type="expression" priority="8008">
      <formula>IF(MOD(#REF!,10)&lt;10,MOD(#REF!,10),IF(#REF!/10&gt;8,MOD(#REF!,80),IF(#REF!/10&gt;7,MOD(#REF!,70),IF(#REF!/10&gt;6,MOD(#REF!,60),IF(#REF!/10&gt;5,MOD(#REF!,50),IF(#REF!/10&gt;4,MOD(#REF!,40),IF(#REF!/10&gt;3,MOD(#REF!,30),IF(#REF!/10&gt;2,MOD(#REF!,20),MOD(#REF!,100)))))))))</formula>
    </cfRule>
  </conditionalFormatting>
  <conditionalFormatting sqref="B268">
    <cfRule type="expression" dxfId="164" priority="4">
      <formula>IF(#REF!&lt;&gt;$H$6,IF(#REF!&lt;&gt;$H$7,IF(#REF!&lt;&gt;$H$8,IF(#REF!&lt;&gt;$I$6,IF(B268&lt;&gt;$I$7,IF(#REF!&lt;&gt;$I$8,IF(#REF!&lt;&gt;$L$6,IF(#REF!&lt;&gt;$L$7,IF(#REF!&lt;&gt;$L$8,IF(#REF!&lt;&gt;$N$6,IF(#REF!&lt;&gt;$N$7,TRUE)))))))))))</formula>
    </cfRule>
  </conditionalFormatting>
  <conditionalFormatting sqref="A265">
    <cfRule type="expression" priority="8171">
      <formula>IF(MOD(A289,10)&lt;10,MOD(A289,10),IF(A289/10&gt;8,MOD(A289,80),IF(A289/10&gt;7,MOD(A289,70),IF(A289/10&gt;6,MOD(A289,60),IF(A289/10&gt;5,MOD(A289,50),IF(A289/10&gt;4,MOD(A289,40),IF(A289/10&gt;3,MOD(A289,30),IF(A289/10&gt;2,MOD(A289,20),MOD(A289,100)))))))))</formula>
    </cfRule>
  </conditionalFormatting>
  <conditionalFormatting sqref="A253:A256">
    <cfRule type="expression" priority="8512">
      <formula>IF(MOD(#REF!,10)&lt;10,MOD(#REF!,10),IF(#REF!/10&gt;8,MOD(#REF!,80),IF(#REF!/10&gt;7,MOD(#REF!,70),IF(#REF!/10&gt;6,MOD(#REF!,60),IF(#REF!/10&gt;5,MOD(#REF!,50),IF(#REF!/10&gt;4,MOD(#REF!,40),IF(#REF!/10&gt;3,MOD(#REF!,30),IF(#REF!/10&gt;2,MOD(#REF!,20),MOD(#REF!,100)))))))))</formula>
    </cfRule>
  </conditionalFormatting>
  <conditionalFormatting sqref="A273">
    <cfRule type="expression" priority="8513">
      <formula>IF(MOD(A297,10)&lt;10,MOD(A297,10),IF(A297/10&gt;8,MOD(A297,80),IF(A297/10&gt;7,MOD(A297,70),IF(A297/10&gt;6,MOD(A297,60),IF(A297/10&gt;5,MOD(A297,50),IF(A297/10&gt;4,MOD(A297,40),IF(A297/10&gt;3,MOD(A297,30),IF(A297/10&gt;2,MOD(A297,20),MOD(A297,100)))))))))</formula>
    </cfRule>
  </conditionalFormatting>
  <conditionalFormatting sqref="A257:A262 A272:A274">
    <cfRule type="expression" priority="8677">
      <formula>IF(MOD(A280,10)&lt;10,MOD(A280,10),IF(A280/10&gt;8,MOD(A280,80),IF(A280/10&gt;7,MOD(A280,70),IF(A280/10&gt;6,MOD(A280,60),IF(A280/10&gt;5,MOD(A280,50),IF(A280/10&gt;4,MOD(A280,40),IF(A280/10&gt;3,MOD(A280,30),IF(A280/10&gt;2,MOD(A280,20),MOD(A280,100)))))))))</formula>
    </cfRule>
  </conditionalFormatting>
  <conditionalFormatting sqref="A274:A275">
    <cfRule type="expression" priority="8840">
      <formula>IF(MOD(A296,10)&lt;10,MOD(A296,10),IF(A296/10&gt;8,MOD(A296,80),IF(A296/10&gt;7,MOD(A296,70),IF(A296/10&gt;6,MOD(A296,60),IF(A296/10&gt;5,MOD(A296,50),IF(A296/10&gt;4,MOD(A296,40),IF(A296/10&gt;3,MOD(A296,30),IF(A296/10&gt;2,MOD(A296,20),MOD(A296,100)))))))))</formula>
    </cfRule>
  </conditionalFormatting>
  <conditionalFormatting sqref="A260:A261">
    <cfRule type="expression" priority="8842">
      <formula>IF(MOD(A286,10)&lt;10,MOD(A286,10),IF(A286/10&gt;8,MOD(A286,80),IF(A286/10&gt;7,MOD(A286,70),IF(A286/10&gt;6,MOD(A286,60),IF(A286/10&gt;5,MOD(A286,50),IF(A286/10&gt;4,MOD(A286,40),IF(A286/10&gt;3,MOD(A286,30),IF(A286/10&gt;2,MOD(A286,20),MOD(A286,100)))))))))</formula>
    </cfRule>
  </conditionalFormatting>
  <conditionalFormatting sqref="A263:A265">
    <cfRule type="expression" priority="8947">
      <formula>IF(MOD(#REF!,10)&lt;10,MOD(#REF!,10),IF(#REF!/10&gt;8,MOD(#REF!,80),IF(#REF!/10&gt;7,MOD(#REF!,70),IF(#REF!/10&gt;6,MOD(#REF!,60),IF(#REF!/10&gt;5,MOD(#REF!,50),IF(#REF!/10&gt;4,MOD(#REF!,40),IF(#REF!/10&gt;3,MOD(#REF!,30),IF(#REF!/10&gt;2,MOD(#REF!,20),MOD(#REF!,100)))))))))</formula>
    </cfRule>
  </conditionalFormatting>
  <conditionalFormatting sqref="A272:A273">
    <cfRule type="expression" priority="9186">
      <formula>IF(MOD(A288,10)&lt;10,MOD(A288,10),IF(A288/10&gt;8,MOD(A288,80),IF(A288/10&gt;7,MOD(A288,70),IF(A288/10&gt;6,MOD(A288,60),IF(A288/10&gt;5,MOD(A288,50),IF(A288/10&gt;4,MOD(A288,40),IF(A288/10&gt;3,MOD(A288,30),IF(A288/10&gt;2,MOD(A288,20),MOD(A288,100)))))))))</formula>
    </cfRule>
  </conditionalFormatting>
  <conditionalFormatting sqref="A268:A271">
    <cfRule type="expression" priority="9187">
      <formula>IF(MOD(#REF!,10)&lt;10,MOD(#REF!,10),IF(#REF!/10&gt;8,MOD(#REF!,80),IF(#REF!/10&gt;7,MOD(#REF!,70),IF(#REF!/10&gt;6,MOD(#REF!,60),IF(#REF!/10&gt;5,MOD(#REF!,50),IF(#REF!/10&gt;4,MOD(#REF!,40),IF(#REF!/10&gt;3,MOD(#REF!,30),IF(#REF!/10&gt;2,MOD(#REF!,20),MOD(#REF!,100)))))))))</formula>
    </cfRule>
  </conditionalFormatting>
  <conditionalFormatting sqref="A262:A263">
    <cfRule type="expression" priority="9217">
      <formula>IF(MOD(#REF!,10)&lt;10,MOD(#REF!,10),IF(#REF!/10&gt;8,MOD(#REF!,80),IF(#REF!/10&gt;7,MOD(#REF!,70),IF(#REF!/10&gt;6,MOD(#REF!,60),IF(#REF!/10&gt;5,MOD(#REF!,50),IF(#REF!/10&gt;4,MOD(#REF!,40),IF(#REF!/10&gt;3,MOD(#REF!,30),IF(#REF!/10&gt;2,MOD(#REF!,20),MOD(#REF!,100)))))))))</formula>
    </cfRule>
  </conditionalFormatting>
  <conditionalFormatting sqref="A266">
    <cfRule type="expression" priority="9480">
      <formula>IF(MOD(#REF!,10)&lt;10,MOD(#REF!,10),IF(#REF!/10&gt;8,MOD(#REF!,80),IF(#REF!/10&gt;7,MOD(#REF!,70),IF(#REF!/10&gt;6,MOD(#REF!,60),IF(#REF!/10&gt;5,MOD(#REF!,50),IF(#REF!/10&gt;4,MOD(#REF!,40),IF(#REF!/10&gt;3,MOD(#REF!,30),IF(#REF!/10&gt;2,MOD(#REF!,20),MOD(#REF!,100)))))))))</formula>
    </cfRule>
  </conditionalFormatting>
  <pageMargins left="0" right="0" top="0.35433070866141736" bottom="1.1811023622047245" header="0" footer="0.11811023622047245"/>
  <pageSetup paperSize="9" orientation="portrait" r:id="rId1"/>
  <headerFooter scaleWithDoc="0" alignWithMargins="0">
    <oddHeader>&amp;R&amp;"Times New Roman,курсив"&amp;8Стр. &amp;P из &amp;N</oddHeader>
    <oddFooter>&amp;L&amp;"Times New Roman,полужирный курсив"Главный судья соревнований, судья всероссийской категорииГлавный секретарь соревнований, судья первой категории&amp;R&amp;"Times New Roman,полужирный курсив"Алдаев А.В.Реди Е.В.</oddFooter>
  </headerFooter>
  <rowBreaks count="2" manualBreakCount="2">
    <brk id="50" max="16383" man="1"/>
    <brk id="9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15">
    <tabColor rgb="FFC00000"/>
  </sheetPr>
  <dimension ref="A1:S158"/>
  <sheetViews>
    <sheetView workbookViewId="0">
      <selection activeCell="AD19" sqref="AD19"/>
    </sheetView>
  </sheetViews>
  <sheetFormatPr defaultColWidth="9.14453125" defaultRowHeight="13.5"/>
  <cols>
    <col min="1" max="3" width="4.9765625" style="555" customWidth="1"/>
    <col min="4" max="4" width="9.55078125" style="555" customWidth="1"/>
    <col min="5" max="5" width="4.03515625" style="555" customWidth="1"/>
    <col min="6" max="6" width="4.16796875" style="555" customWidth="1"/>
    <col min="7" max="7" width="5.109375" style="555" customWidth="1"/>
    <col min="8" max="9" width="4.83984375" style="555" customWidth="1"/>
    <col min="10" max="10" width="5.109375" style="555" customWidth="1"/>
    <col min="11" max="11" width="5.51171875" style="555" customWidth="1"/>
    <col min="12" max="12" width="5.109375" style="555" customWidth="1"/>
    <col min="13" max="13" width="4.83984375" style="555" customWidth="1"/>
    <col min="14" max="15" width="5.109375" style="555" customWidth="1"/>
    <col min="16" max="16" width="4.70703125" style="555" customWidth="1"/>
    <col min="17" max="18" width="5.109375" style="555" customWidth="1"/>
    <col min="19" max="35" width="1.34375" style="555" customWidth="1"/>
    <col min="36" max="16384" width="9.14453125" style="555"/>
  </cols>
  <sheetData>
    <row r="1" spans="1:18" ht="18">
      <c r="M1" s="907" t="s">
        <v>1091</v>
      </c>
    </row>
    <row r="2" spans="1:18" ht="14.25">
      <c r="L2" s="902" t="s">
        <v>1092</v>
      </c>
    </row>
    <row r="3" spans="1:18" ht="14.25">
      <c r="L3" s="902" t="s">
        <v>1093</v>
      </c>
    </row>
    <row r="4" spans="1:18" ht="14.25">
      <c r="L4" s="902" t="s">
        <v>1094</v>
      </c>
    </row>
    <row r="5" spans="1:18" ht="14.25">
      <c r="L5" s="553" t="s">
        <v>1095</v>
      </c>
      <c r="P5" s="908"/>
    </row>
    <row r="6" spans="1:18" ht="24.75" customHeight="1">
      <c r="R6" s="909" t="s">
        <v>1096</v>
      </c>
    </row>
    <row r="8" spans="1:18" ht="18">
      <c r="A8" s="1570" t="s">
        <v>1097</v>
      </c>
      <c r="B8" s="1570"/>
      <c r="C8" s="1570"/>
      <c r="D8" s="1570"/>
      <c r="E8" s="1570"/>
      <c r="F8" s="1570"/>
      <c r="G8" s="1570"/>
      <c r="H8" s="1570"/>
      <c r="I8" s="1570"/>
      <c r="J8" s="1570"/>
      <c r="K8" s="1570"/>
      <c r="L8" s="1570"/>
      <c r="M8" s="1570"/>
      <c r="N8" s="1570"/>
      <c r="O8" s="1570"/>
      <c r="P8" s="1570"/>
      <c r="Q8" s="1570"/>
      <c r="R8" s="1570"/>
    </row>
    <row r="9" spans="1:18" ht="18">
      <c r="A9" s="904"/>
      <c r="B9" s="904"/>
      <c r="C9" s="904"/>
      <c r="D9" s="904"/>
      <c r="E9" s="904"/>
      <c r="F9" s="904"/>
      <c r="G9" s="904"/>
      <c r="H9" s="904"/>
      <c r="I9" s="904"/>
      <c r="J9" s="904"/>
      <c r="K9" s="904"/>
      <c r="L9" s="904"/>
      <c r="M9" s="904"/>
      <c r="N9" s="904"/>
      <c r="O9" s="904"/>
    </row>
    <row r="10" spans="1:18" s="216" customFormat="1" ht="18.75" customHeight="1">
      <c r="A10" s="1571" t="e">
        <f>#REF!</f>
        <v>#REF!</v>
      </c>
      <c r="B10" s="1571"/>
      <c r="C10" s="1571"/>
      <c r="D10" s="1571"/>
      <c r="E10" s="1571"/>
      <c r="F10" s="1571"/>
      <c r="G10" s="1571"/>
      <c r="H10" s="1571"/>
      <c r="I10" s="1571"/>
      <c r="J10" s="1571"/>
      <c r="K10" s="1571"/>
      <c r="L10" s="1571"/>
      <c r="M10" s="1571"/>
      <c r="N10" s="1571"/>
      <c r="O10" s="1571"/>
      <c r="P10" s="1571"/>
      <c r="Q10" s="1571"/>
      <c r="R10" s="1571"/>
    </row>
    <row r="11" spans="1:18" s="553" customFormat="1" ht="20.25" customHeight="1">
      <c r="A11" s="1572" t="s">
        <v>1098</v>
      </c>
      <c r="B11" s="1572"/>
      <c r="C11" s="1572"/>
      <c r="D11" s="1572"/>
      <c r="E11" s="1572"/>
      <c r="F11" s="1572"/>
      <c r="G11" s="1572"/>
      <c r="H11" s="1572"/>
      <c r="I11" s="1572"/>
      <c r="J11" s="1572"/>
      <c r="K11" s="1572"/>
      <c r="L11" s="1572"/>
      <c r="M11" s="1572"/>
      <c r="N11" s="1572"/>
      <c r="O11" s="1572"/>
      <c r="P11" s="1572"/>
      <c r="Q11" s="1572"/>
    </row>
    <row r="12" spans="1:18" s="553" customFormat="1" ht="18">
      <c r="A12" s="1573" t="e">
        <f>#REF!</f>
        <v>#REF!</v>
      </c>
      <c r="B12" s="1573"/>
      <c r="C12" s="1573"/>
      <c r="D12" s="1573"/>
      <c r="E12" s="1573"/>
      <c r="F12" s="1573"/>
      <c r="G12" s="1573"/>
      <c r="H12" s="1573"/>
      <c r="I12" s="1573"/>
      <c r="J12" s="1573"/>
      <c r="K12" s="1573"/>
      <c r="L12" s="1573"/>
      <c r="M12" s="1573"/>
      <c r="N12" s="1573"/>
      <c r="O12" s="1573"/>
      <c r="P12" s="1573"/>
      <c r="Q12" s="1573"/>
      <c r="R12" s="1573"/>
    </row>
    <row r="13" spans="1:18" s="553" customFormat="1" ht="14.25">
      <c r="A13" s="902"/>
      <c r="B13" s="1574"/>
      <c r="C13" s="1574"/>
      <c r="D13" s="1574"/>
      <c r="E13" s="1574"/>
      <c r="F13" s="1575"/>
      <c r="G13" s="1575"/>
      <c r="H13" s="1575"/>
      <c r="I13" s="1575"/>
      <c r="J13" s="1575"/>
      <c r="K13" s="1575"/>
      <c r="L13" s="1575"/>
      <c r="M13" s="1575"/>
      <c r="N13" s="1575"/>
      <c r="O13" s="1575"/>
      <c r="P13" s="1575"/>
    </row>
    <row r="14" spans="1:18" s="553" customFormat="1" ht="14.25">
      <c r="A14" s="910" t="s">
        <v>354</v>
      </c>
      <c r="B14" s="910"/>
      <c r="C14" s="910"/>
      <c r="D14" s="910"/>
      <c r="E14" s="911" t="e">
        <f>#REF!</f>
        <v>#REF!</v>
      </c>
      <c r="F14" s="910"/>
      <c r="G14" s="910"/>
      <c r="H14" s="912"/>
      <c r="I14" s="913"/>
      <c r="J14" s="912"/>
      <c r="K14" s="912"/>
      <c r="L14" s="912"/>
      <c r="M14" s="912"/>
      <c r="N14" s="912"/>
      <c r="O14" s="912"/>
      <c r="P14" s="912"/>
      <c r="Q14" s="912"/>
      <c r="R14" s="912"/>
    </row>
    <row r="15" spans="1:18" s="553" customFormat="1" ht="20.25" customHeight="1">
      <c r="A15" s="1545" t="s">
        <v>1099</v>
      </c>
      <c r="B15" s="1545"/>
      <c r="C15" s="1545"/>
      <c r="D15" s="1545"/>
      <c r="E15" s="1572"/>
      <c r="F15" s="1572"/>
      <c r="G15" s="1572"/>
      <c r="H15" s="1572"/>
      <c r="I15" s="1572"/>
      <c r="J15" s="1572"/>
      <c r="K15" s="1572"/>
      <c r="L15" s="1572"/>
      <c r="M15" s="1572"/>
      <c r="N15" s="1572"/>
      <c r="O15" s="1572"/>
      <c r="P15" s="1572"/>
      <c r="Q15" s="1572"/>
    </row>
    <row r="16" spans="1:18" s="553" customFormat="1" ht="14.25">
      <c r="A16" s="910" t="s">
        <v>353</v>
      </c>
      <c r="B16" s="910"/>
      <c r="C16" s="910"/>
      <c r="D16" s="910"/>
      <c r="E16" s="911" t="e">
        <f>#REF!&amp;" "&amp;"(четыре дня)"</f>
        <v>#REF!</v>
      </c>
      <c r="F16" s="910"/>
      <c r="G16" s="910"/>
      <c r="H16" s="912"/>
      <c r="I16" s="913"/>
      <c r="J16" s="912"/>
      <c r="K16" s="912"/>
      <c r="L16" s="912"/>
      <c r="M16" s="912"/>
      <c r="N16" s="912"/>
      <c r="O16" s="912"/>
      <c r="P16" s="912"/>
      <c r="Q16" s="912"/>
      <c r="R16" s="912"/>
    </row>
    <row r="17" spans="1:18" s="553" customFormat="1" ht="20.25" customHeight="1">
      <c r="A17" s="1545" t="s">
        <v>1100</v>
      </c>
      <c r="B17" s="1545"/>
      <c r="C17" s="1545"/>
      <c r="D17" s="1545"/>
      <c r="E17" s="1545"/>
      <c r="F17" s="1545"/>
      <c r="G17" s="1545"/>
      <c r="H17" s="1545"/>
      <c r="I17" s="1545"/>
      <c r="J17" s="1545"/>
      <c r="K17" s="1545"/>
      <c r="L17" s="1545"/>
      <c r="M17" s="1545"/>
      <c r="N17" s="1545"/>
      <c r="O17" s="1545"/>
      <c r="P17" s="1545"/>
      <c r="Q17" s="1545"/>
    </row>
    <row r="18" spans="1:18" s="553" customFormat="1" ht="18">
      <c r="A18" s="914" t="s">
        <v>1101</v>
      </c>
      <c r="B18" s="915" t="s">
        <v>1102</v>
      </c>
      <c r="E18" s="916">
        <v>3</v>
      </c>
      <c r="F18" s="912" t="s">
        <v>1103</v>
      </c>
      <c r="G18" s="912"/>
      <c r="H18" s="917"/>
      <c r="I18" s="912"/>
      <c r="J18" s="912"/>
      <c r="K18" s="912"/>
      <c r="L18" s="912"/>
      <c r="M18" s="912"/>
      <c r="N18" s="912"/>
      <c r="O18" s="912"/>
      <c r="P18" s="912"/>
      <c r="Q18" s="912"/>
      <c r="R18" s="912"/>
    </row>
    <row r="19" spans="1:18" s="553" customFormat="1" ht="21" customHeight="1">
      <c r="A19" s="902"/>
      <c r="E19" s="918" t="e">
        <f>COUNTIF(#REF!,"*г.*")+COUNTIF(#REF!,"*обл*")+COUNTIF(#REF!,"*край*")+COUNTIF(#REF!,"*город*")+COUNTIF(#REF!,"*респ*")</f>
        <v>#REF!</v>
      </c>
      <c r="F19" s="905" t="s">
        <v>1104</v>
      </c>
      <c r="G19" s="905"/>
      <c r="H19" s="919" t="e">
        <f>#REF!</f>
        <v>#REF!</v>
      </c>
      <c r="I19" s="905" t="s">
        <v>1105</v>
      </c>
      <c r="J19" s="905"/>
      <c r="K19" s="905"/>
      <c r="L19" s="905"/>
      <c r="M19" s="905"/>
      <c r="N19" s="905"/>
      <c r="O19" s="905"/>
      <c r="P19" s="905"/>
      <c r="Q19" s="905"/>
      <c r="R19" s="905"/>
    </row>
    <row r="20" spans="1:18" s="553" customFormat="1" ht="14.25">
      <c r="A20" s="902"/>
      <c r="E20" s="920" t="e">
        <f>#REF!</f>
        <v>#REF!</v>
      </c>
      <c r="J20" s="909" t="s">
        <v>1106</v>
      </c>
      <c r="K20" s="921" t="e">
        <f>COUNTIF(#REF!,E20)</f>
        <v>#REF!</v>
      </c>
      <c r="L20" s="553" t="s">
        <v>122</v>
      </c>
    </row>
    <row r="21" spans="1:18" s="553" customFormat="1" ht="18">
      <c r="A21" s="902"/>
      <c r="E21" s="920" t="e">
        <f>#REF!</f>
        <v>#REF!</v>
      </c>
      <c r="F21" s="166"/>
      <c r="G21" s="166"/>
      <c r="H21" s="166"/>
      <c r="I21" s="166"/>
      <c r="J21" s="909" t="s">
        <v>1106</v>
      </c>
      <c r="K21" s="921" t="e">
        <f>COUNTIF(#REF!,E21)</f>
        <v>#REF!</v>
      </c>
      <c r="L21" s="553" t="s">
        <v>122</v>
      </c>
      <c r="M21" s="166"/>
      <c r="N21" s="166"/>
    </row>
    <row r="22" spans="1:18" s="553" customFormat="1" ht="18">
      <c r="A22" s="902"/>
      <c r="E22" s="920" t="e">
        <f>#REF!</f>
        <v>#REF!</v>
      </c>
      <c r="F22" s="166"/>
      <c r="G22" s="166"/>
      <c r="H22" s="166"/>
      <c r="I22" s="166"/>
      <c r="J22" s="909" t="s">
        <v>1106</v>
      </c>
      <c r="K22" s="921" t="e">
        <f>COUNTIF(#REF!,E22)</f>
        <v>#REF!</v>
      </c>
      <c r="L22" s="553" t="s">
        <v>122</v>
      </c>
      <c r="M22" s="166"/>
      <c r="N22" s="166"/>
    </row>
    <row r="23" spans="1:18" s="553" customFormat="1" ht="18">
      <c r="A23" s="902"/>
      <c r="E23" s="920" t="e">
        <f>#REF!</f>
        <v>#REF!</v>
      </c>
      <c r="F23" s="166"/>
      <c r="G23" s="166"/>
      <c r="H23" s="166"/>
      <c r="I23" s="166"/>
      <c r="J23" s="909" t="s">
        <v>1106</v>
      </c>
      <c r="K23" s="921" t="e">
        <f>COUNTIF(#REF!,E23)</f>
        <v>#REF!</v>
      </c>
      <c r="L23" s="553" t="s">
        <v>122</v>
      </c>
      <c r="M23" s="166"/>
      <c r="N23" s="166"/>
    </row>
    <row r="24" spans="1:18" s="553" customFormat="1" ht="18">
      <c r="A24" s="902"/>
      <c r="E24" s="920" t="e">
        <f>#REF!</f>
        <v>#REF!</v>
      </c>
      <c r="F24" s="166"/>
      <c r="G24" s="166"/>
      <c r="H24" s="166"/>
      <c r="I24" s="166"/>
      <c r="J24" s="909" t="s">
        <v>1106</v>
      </c>
      <c r="K24" s="921" t="e">
        <f>COUNTIF(#REF!,E24)</f>
        <v>#REF!</v>
      </c>
      <c r="L24" s="553" t="s">
        <v>122</v>
      </c>
      <c r="M24" s="166"/>
      <c r="N24" s="166"/>
    </row>
    <row r="25" spans="1:18" s="553" customFormat="1" ht="18">
      <c r="A25" s="902"/>
      <c r="E25" s="920" t="e">
        <f>#REF!</f>
        <v>#REF!</v>
      </c>
      <c r="F25" s="166"/>
      <c r="G25" s="166"/>
      <c r="H25" s="166"/>
      <c r="I25" s="166"/>
      <c r="J25" s="909" t="s">
        <v>1106</v>
      </c>
      <c r="K25" s="921" t="e">
        <f>COUNTIF(#REF!,E25)</f>
        <v>#REF!</v>
      </c>
      <c r="L25" s="553" t="s">
        <v>122</v>
      </c>
      <c r="M25" s="166"/>
      <c r="N25" s="166"/>
    </row>
    <row r="26" spans="1:18" s="553" customFormat="1" ht="18">
      <c r="A26" s="902"/>
      <c r="E26" s="920" t="e">
        <f>#REF!</f>
        <v>#REF!</v>
      </c>
      <c r="F26" s="166"/>
      <c r="G26" s="166"/>
      <c r="H26" s="166"/>
      <c r="I26" s="166"/>
      <c r="J26" s="909" t="s">
        <v>1106</v>
      </c>
      <c r="K26" s="921" t="e">
        <f>COUNTIF(#REF!,E26)</f>
        <v>#REF!</v>
      </c>
      <c r="L26" s="553" t="s">
        <v>122</v>
      </c>
      <c r="M26" s="166"/>
      <c r="N26" s="166"/>
    </row>
    <row r="27" spans="1:18" s="553" customFormat="1" ht="18">
      <c r="A27" s="902"/>
      <c r="E27" s="920" t="e">
        <f>#REF!</f>
        <v>#REF!</v>
      </c>
      <c r="F27" s="166"/>
      <c r="G27" s="166"/>
      <c r="H27" s="166"/>
      <c r="I27" s="166"/>
      <c r="J27" s="909" t="s">
        <v>1106</v>
      </c>
      <c r="K27" s="921" t="e">
        <f>COUNTIF(#REF!,E27)</f>
        <v>#REF!</v>
      </c>
      <c r="L27" s="553" t="s">
        <v>122</v>
      </c>
      <c r="M27" s="166"/>
      <c r="N27" s="166"/>
    </row>
    <row r="28" spans="1:18" s="553" customFormat="1" ht="18">
      <c r="A28" s="902"/>
      <c r="E28" s="920" t="e">
        <f>#REF!</f>
        <v>#REF!</v>
      </c>
      <c r="F28" s="166"/>
      <c r="G28" s="166"/>
      <c r="H28" s="166"/>
      <c r="I28" s="166"/>
      <c r="J28" s="909" t="s">
        <v>1106</v>
      </c>
      <c r="K28" s="921" t="e">
        <f>COUNTIF(#REF!,E28)</f>
        <v>#REF!</v>
      </c>
      <c r="L28" s="553" t="s">
        <v>122</v>
      </c>
      <c r="M28" s="166"/>
      <c r="N28" s="166"/>
    </row>
    <row r="29" spans="1:18" s="553" customFormat="1" ht="18.75" customHeight="1">
      <c r="A29" s="902"/>
      <c r="E29" s="920" t="e">
        <f>#REF!</f>
        <v>#REF!</v>
      </c>
      <c r="H29" s="564"/>
      <c r="J29" s="909" t="s">
        <v>1106</v>
      </c>
      <c r="K29" s="921" t="e">
        <f>COUNTIF(#REF!,E29)</f>
        <v>#REF!</v>
      </c>
      <c r="L29" s="553" t="s">
        <v>122</v>
      </c>
    </row>
    <row r="30" spans="1:18" s="553" customFormat="1" ht="18.75" customHeight="1">
      <c r="A30" s="902"/>
      <c r="E30" s="920" t="e">
        <f>#REF!</f>
        <v>#REF!</v>
      </c>
      <c r="H30" s="564"/>
      <c r="J30" s="909" t="s">
        <v>1106</v>
      </c>
      <c r="K30" s="921" t="e">
        <f>COUNTIF(#REF!,E30)</f>
        <v>#REF!</v>
      </c>
      <c r="L30" s="553" t="s">
        <v>122</v>
      </c>
    </row>
    <row r="31" spans="1:18" s="553" customFormat="1" ht="18.75" customHeight="1">
      <c r="A31" s="902"/>
      <c r="E31" s="920" t="e">
        <f>#REF!</f>
        <v>#REF!</v>
      </c>
      <c r="H31" s="564"/>
      <c r="J31" s="909" t="s">
        <v>1106</v>
      </c>
      <c r="K31" s="921" t="e">
        <f>COUNTIF(#REF!,E31)</f>
        <v>#REF!</v>
      </c>
      <c r="L31" s="553" t="s">
        <v>122</v>
      </c>
    </row>
    <row r="32" spans="1:18" s="553" customFormat="1" ht="18.75" customHeight="1">
      <c r="A32" s="902"/>
      <c r="E32" s="920" t="e">
        <f>#REF!</f>
        <v>#REF!</v>
      </c>
      <c r="H32" s="564"/>
      <c r="J32" s="909" t="s">
        <v>1106</v>
      </c>
      <c r="K32" s="921" t="e">
        <f>COUNTIF(#REF!,E32)</f>
        <v>#REF!</v>
      </c>
      <c r="L32" s="553" t="s">
        <v>122</v>
      </c>
    </row>
    <row r="33" spans="1:18" s="553" customFormat="1" ht="18">
      <c r="A33" s="902"/>
      <c r="E33" s="920" t="e">
        <f>#REF!</f>
        <v>#REF!</v>
      </c>
      <c r="F33" s="166"/>
      <c r="G33" s="166"/>
      <c r="H33" s="166"/>
      <c r="I33" s="166"/>
      <c r="J33" s="909" t="s">
        <v>1106</v>
      </c>
      <c r="K33" s="921" t="e">
        <f>COUNTIF(#REF!,E33)</f>
        <v>#REF!</v>
      </c>
      <c r="L33" s="553" t="s">
        <v>122</v>
      </c>
      <c r="M33" s="166"/>
      <c r="N33" s="166"/>
    </row>
    <row r="34" spans="1:18" s="553" customFormat="1" ht="18">
      <c r="A34" s="902"/>
      <c r="E34" s="920" t="e">
        <f>#REF!</f>
        <v>#REF!</v>
      </c>
      <c r="F34" s="166"/>
      <c r="G34" s="166"/>
      <c r="H34" s="166"/>
      <c r="I34" s="166"/>
      <c r="J34" s="909" t="s">
        <v>1106</v>
      </c>
      <c r="K34" s="921" t="e">
        <f>COUNTIF(#REF!,E34)</f>
        <v>#REF!</v>
      </c>
      <c r="L34" s="553" t="s">
        <v>122</v>
      </c>
      <c r="M34" s="166"/>
      <c r="N34" s="166"/>
    </row>
    <row r="35" spans="1:18" s="553" customFormat="1" ht="18">
      <c r="A35" s="902"/>
      <c r="E35" s="920" t="e">
        <f>#REF!</f>
        <v>#REF!</v>
      </c>
      <c r="F35" s="166"/>
      <c r="G35" s="166"/>
      <c r="H35" s="166"/>
      <c r="I35" s="166"/>
      <c r="J35" s="909" t="s">
        <v>1106</v>
      </c>
      <c r="K35" s="921" t="e">
        <f>COUNTIF(#REF!,E35)</f>
        <v>#REF!</v>
      </c>
      <c r="L35" s="553" t="s">
        <v>122</v>
      </c>
      <c r="M35" s="166"/>
      <c r="N35" s="166"/>
    </row>
    <row r="36" spans="1:18" s="553" customFormat="1" ht="18.75" customHeight="1">
      <c r="A36" s="902"/>
      <c r="E36" s="920" t="e">
        <f>#REF!</f>
        <v>#REF!</v>
      </c>
      <c r="H36" s="564"/>
      <c r="J36" s="909" t="s">
        <v>1106</v>
      </c>
      <c r="K36" s="921" t="e">
        <f>COUNTIF(#REF!,E36)</f>
        <v>#REF!</v>
      </c>
      <c r="L36" s="553" t="s">
        <v>122</v>
      </c>
    </row>
    <row r="37" spans="1:18" s="553" customFormat="1" ht="18.75" customHeight="1">
      <c r="A37" s="902"/>
      <c r="E37" s="920" t="e">
        <f>#REF!</f>
        <v>#REF!</v>
      </c>
      <c r="H37" s="564"/>
      <c r="J37" s="909" t="s">
        <v>1106</v>
      </c>
      <c r="K37" s="921" t="e">
        <f>COUNTIF(#REF!,E37)</f>
        <v>#REF!</v>
      </c>
      <c r="L37" s="553" t="s">
        <v>122</v>
      </c>
    </row>
    <row r="38" spans="1:18" s="553" customFormat="1" ht="18.75" customHeight="1">
      <c r="A38" s="902"/>
      <c r="E38" s="920" t="e">
        <f>#REF!</f>
        <v>#REF!</v>
      </c>
      <c r="H38" s="564"/>
      <c r="J38" s="909" t="s">
        <v>1106</v>
      </c>
      <c r="K38" s="921" t="e">
        <f>COUNTIF(#REF!,E38)</f>
        <v>#REF!</v>
      </c>
      <c r="L38" s="553" t="s">
        <v>122</v>
      </c>
    </row>
    <row r="39" spans="1:18" s="553" customFormat="1" ht="18.75" customHeight="1">
      <c r="A39" s="902"/>
      <c r="E39" s="920" t="e">
        <f>#REF!</f>
        <v>#REF!</v>
      </c>
      <c r="H39" s="564"/>
      <c r="J39" s="909" t="s">
        <v>1106</v>
      </c>
      <c r="K39" s="921" t="e">
        <f>COUNTIF(#REF!,E39)</f>
        <v>#REF!</v>
      </c>
      <c r="L39" s="553" t="s">
        <v>122</v>
      </c>
    </row>
    <row r="40" spans="1:18" s="553" customFormat="1" ht="18.75" customHeight="1">
      <c r="A40" s="902"/>
      <c r="E40" s="922"/>
      <c r="H40" s="564"/>
    </row>
    <row r="41" spans="1:18" s="553" customFormat="1" ht="18.75" customHeight="1">
      <c r="A41" s="1557" t="s">
        <v>1107</v>
      </c>
      <c r="B41" s="1557"/>
      <c r="C41" s="1557"/>
      <c r="D41" s="1557" t="s">
        <v>436</v>
      </c>
      <c r="E41" s="1576" t="s">
        <v>1108</v>
      </c>
      <c r="F41" s="1576"/>
      <c r="G41" s="1576"/>
      <c r="H41" s="1576"/>
      <c r="I41" s="1576"/>
      <c r="J41" s="1576"/>
      <c r="K41" s="1576"/>
      <c r="L41" s="1576"/>
      <c r="M41" s="1576"/>
      <c r="N41" s="1576"/>
      <c r="O41" s="1576"/>
      <c r="P41" s="1576"/>
      <c r="Q41" s="1576"/>
      <c r="R41" s="1576"/>
    </row>
    <row r="42" spans="1:18" s="553" customFormat="1" ht="30.75" customHeight="1">
      <c r="A42" s="1557"/>
      <c r="B42" s="1557"/>
      <c r="C42" s="1557"/>
      <c r="D42" s="1557"/>
      <c r="E42" s="1576" t="s">
        <v>23</v>
      </c>
      <c r="F42" s="1576"/>
      <c r="G42" s="1557" t="s">
        <v>25</v>
      </c>
      <c r="H42" s="1557"/>
      <c r="I42" s="1557" t="s">
        <v>27</v>
      </c>
      <c r="J42" s="1557"/>
      <c r="K42" s="1557" t="s">
        <v>1</v>
      </c>
      <c r="L42" s="1557"/>
      <c r="M42" s="1557" t="s">
        <v>13</v>
      </c>
      <c r="N42" s="1557"/>
      <c r="O42" s="1557" t="s">
        <v>14</v>
      </c>
      <c r="P42" s="1557"/>
      <c r="Q42" s="1577" t="s">
        <v>1109</v>
      </c>
      <c r="R42" s="1577"/>
    </row>
    <row r="43" spans="1:18" s="553" customFormat="1" ht="18">
      <c r="A43" s="1567" t="s">
        <v>161</v>
      </c>
      <c r="B43" s="1567"/>
      <c r="C43" s="1567"/>
      <c r="D43" s="923" t="e">
        <f>COUNTIF(#REF!,"Ж")</f>
        <v>#REF!</v>
      </c>
      <c r="E43" s="1564" t="e">
        <f>COUNTIFS(#REF!,E42,#REF!,"Ж")</f>
        <v>#REF!</v>
      </c>
      <c r="F43" s="1564"/>
      <c r="G43" s="1564" t="e">
        <f>COUNTIFS(#REF!,G42,#REF!,"Ж")</f>
        <v>#REF!</v>
      </c>
      <c r="H43" s="1564"/>
      <c r="I43" s="1564" t="e">
        <f>COUNTIFS(#REF!,I42,#REF!,"Ж")</f>
        <v>#REF!</v>
      </c>
      <c r="J43" s="1564"/>
      <c r="K43" s="1564" t="e">
        <f>COUNTIFS(#REF!,K42,#REF!,"Ж")</f>
        <v>#REF!</v>
      </c>
      <c r="L43" s="1564"/>
      <c r="M43" s="1564" t="e">
        <f>COUNTIFS(#REF!,M42,#REF!,"Ж")</f>
        <v>#REF!</v>
      </c>
      <c r="N43" s="1564"/>
      <c r="O43" s="1564" t="e">
        <f>COUNTIFS(#REF!,O42,#REF!,"Ж")</f>
        <v>#REF!</v>
      </c>
      <c r="P43" s="1564"/>
      <c r="Q43" s="1564" t="e">
        <f>COUNTIFS(#REF!,"I юн",#REF!,"Ж")+COUNTIFS(#REF!,"II юн",#REF!,"Ж")+COUNTIFS(#REF!,"III юн",#REF!,"Ж")</f>
        <v>#REF!</v>
      </c>
      <c r="R43" s="1564"/>
    </row>
    <row r="44" spans="1:18" s="553" customFormat="1" ht="18">
      <c r="A44" s="1567" t="s">
        <v>162</v>
      </c>
      <c r="B44" s="1567"/>
      <c r="C44" s="1567"/>
      <c r="D44" s="923" t="e">
        <f>COUNTIF(#REF!,"М")</f>
        <v>#REF!</v>
      </c>
      <c r="E44" s="1564" t="e">
        <f>COUNTIFS(#REF!,E42,#REF!,"М")</f>
        <v>#REF!</v>
      </c>
      <c r="F44" s="1564"/>
      <c r="G44" s="1564" t="e">
        <f>COUNTIFS(#REF!,G42,#REF!,"М")</f>
        <v>#REF!</v>
      </c>
      <c r="H44" s="1564"/>
      <c r="I44" s="1564" t="e">
        <f>COUNTIFS(#REF!,I42,#REF!,"М")</f>
        <v>#REF!</v>
      </c>
      <c r="J44" s="1564"/>
      <c r="K44" s="1564" t="e">
        <f>COUNTIFS(#REF!,K42,#REF!,"М")</f>
        <v>#REF!</v>
      </c>
      <c r="L44" s="1564"/>
      <c r="M44" s="1564" t="e">
        <f>COUNTIFS(#REF!,M42,#REF!,"М")</f>
        <v>#REF!</v>
      </c>
      <c r="N44" s="1564"/>
      <c r="O44" s="1564" t="e">
        <f>COUNTIFS(#REF!,O42,#REF!,"М")</f>
        <v>#REF!</v>
      </c>
      <c r="P44" s="1564"/>
      <c r="Q44" s="1564" t="e">
        <f>COUNTIFS(#REF!,"I юн",#REF!,"М")+COUNTIFS(#REF!,"II юн",#REF!,"М")+COUNTIFS(#REF!,"III юн",#REF!,"М")</f>
        <v>#REF!</v>
      </c>
      <c r="R44" s="1564"/>
    </row>
    <row r="45" spans="1:18" s="553" customFormat="1" ht="19.5" customHeight="1">
      <c r="A45" s="1565" t="s">
        <v>1110</v>
      </c>
      <c r="B45" s="1565"/>
      <c r="C45" s="1565"/>
      <c r="D45" s="1004" t="e">
        <f>SUM(D43:D44)</f>
        <v>#REF!</v>
      </c>
      <c r="E45" s="1566" t="e">
        <f>SUM(E43:F44)</f>
        <v>#REF!</v>
      </c>
      <c r="F45" s="1566"/>
      <c r="G45" s="1566" t="e">
        <f t="shared" ref="G45" si="0">SUM(G43:H44)</f>
        <v>#REF!</v>
      </c>
      <c r="H45" s="1566"/>
      <c r="I45" s="1566" t="e">
        <f t="shared" ref="I45" si="1">SUM(I43:J44)</f>
        <v>#REF!</v>
      </c>
      <c r="J45" s="1566"/>
      <c r="K45" s="1566" t="e">
        <f t="shared" ref="K45" si="2">SUM(K43:L44)</f>
        <v>#REF!</v>
      </c>
      <c r="L45" s="1566"/>
      <c r="M45" s="1566" t="e">
        <f t="shared" ref="M45" si="3">SUM(M43:N44)</f>
        <v>#REF!</v>
      </c>
      <c r="N45" s="1566"/>
      <c r="O45" s="1566" t="e">
        <f t="shared" ref="O45" si="4">SUM(O43:P44)</f>
        <v>#REF!</v>
      </c>
      <c r="P45" s="1566"/>
      <c r="Q45" s="1566" t="e">
        <f>SUM(Q44:R44)</f>
        <v>#REF!</v>
      </c>
      <c r="R45" s="1566"/>
    </row>
    <row r="46" spans="1:18" s="553" customFormat="1" ht="24" customHeight="1">
      <c r="A46" s="924" t="s">
        <v>1111</v>
      </c>
      <c r="B46" s="604"/>
      <c r="C46" s="604"/>
      <c r="D46" s="604"/>
      <c r="E46" s="604"/>
      <c r="F46" s="604"/>
      <c r="G46" s="914"/>
      <c r="H46" s="604"/>
      <c r="I46" s="604"/>
      <c r="J46" s="604"/>
      <c r="K46" s="604"/>
      <c r="L46" s="604"/>
      <c r="M46" s="1568">
        <v>150</v>
      </c>
      <c r="N46" s="1568"/>
      <c r="O46" s="564" t="s">
        <v>493</v>
      </c>
      <c r="P46" s="564"/>
      <c r="Q46" s="564"/>
    </row>
    <row r="47" spans="1:18" s="553" customFormat="1" ht="20.25" customHeight="1">
      <c r="A47" s="924"/>
      <c r="B47" s="564"/>
      <c r="C47" s="564"/>
      <c r="D47" s="564"/>
      <c r="E47" s="564"/>
      <c r="F47" s="564"/>
      <c r="G47" s="564"/>
      <c r="H47" s="564"/>
      <c r="I47" s="564"/>
      <c r="J47" s="925"/>
      <c r="K47" s="914"/>
      <c r="L47" s="564"/>
      <c r="M47" s="914"/>
      <c r="N47" s="564"/>
      <c r="O47" s="914"/>
      <c r="P47" s="564"/>
      <c r="Q47" s="564"/>
    </row>
    <row r="48" spans="1:18" s="553" customFormat="1" ht="18">
      <c r="A48" s="914" t="s">
        <v>1112</v>
      </c>
      <c r="B48" s="915" t="s">
        <v>1113</v>
      </c>
      <c r="C48" s="564"/>
      <c r="D48" s="564"/>
      <c r="E48" s="564"/>
      <c r="F48" s="564"/>
      <c r="G48" s="564"/>
      <c r="H48" s="564"/>
      <c r="I48" s="564"/>
      <c r="J48" s="564"/>
      <c r="K48" s="564"/>
      <c r="L48" s="564"/>
      <c r="M48" s="564"/>
      <c r="N48" s="564"/>
      <c r="O48" s="564"/>
      <c r="P48" s="564"/>
      <c r="Q48" s="564"/>
    </row>
    <row r="49" spans="1:19" s="553" customFormat="1" ht="36" customHeight="1">
      <c r="A49" s="1569" t="s">
        <v>1114</v>
      </c>
      <c r="B49" s="1569"/>
      <c r="C49" s="1569"/>
      <c r="D49" s="1569"/>
      <c r="E49" s="1569"/>
      <c r="F49" s="1569"/>
      <c r="G49" s="1569"/>
      <c r="H49" s="1569"/>
      <c r="I49" s="1569"/>
      <c r="J49" s="1569"/>
      <c r="K49" s="1569"/>
      <c r="L49" s="1569"/>
      <c r="M49" s="1569"/>
      <c r="N49" s="1569"/>
      <c r="O49" s="1569"/>
      <c r="P49" s="1569"/>
      <c r="Q49" s="1569"/>
      <c r="R49" s="1569"/>
    </row>
    <row r="50" spans="1:19" s="553" customFormat="1" ht="14.25">
      <c r="A50" s="566"/>
      <c r="B50" s="1555"/>
      <c r="C50" s="1555"/>
      <c r="D50" s="1555"/>
      <c r="E50" s="1555"/>
      <c r="F50" s="1555"/>
      <c r="G50" s="1555"/>
      <c r="H50" s="1555"/>
      <c r="I50" s="1555"/>
      <c r="J50" s="1555"/>
      <c r="K50" s="1555"/>
      <c r="L50" s="1555"/>
      <c r="M50" s="1555"/>
      <c r="N50" s="1555"/>
      <c r="O50" s="1555"/>
      <c r="S50" s="903"/>
    </row>
    <row r="51" spans="1:19" s="553" customFormat="1" ht="18">
      <c r="A51" s="914" t="s">
        <v>1115</v>
      </c>
      <c r="B51" s="915" t="s">
        <v>1116</v>
      </c>
      <c r="C51" s="564"/>
      <c r="D51" s="564"/>
      <c r="E51" s="564"/>
      <c r="F51" s="564"/>
      <c r="G51" s="564"/>
      <c r="H51" s="564"/>
      <c r="I51" s="564"/>
      <c r="J51" s="564"/>
      <c r="K51" s="564"/>
      <c r="L51" s="564"/>
      <c r="M51" s="564"/>
      <c r="N51" s="564"/>
      <c r="O51" s="564"/>
      <c r="P51" s="564"/>
      <c r="Q51" s="564"/>
    </row>
    <row r="52" spans="1:19" s="553" customFormat="1" ht="14.25">
      <c r="A52" s="902"/>
    </row>
    <row r="53" spans="1:19" s="553" customFormat="1" ht="19.5" customHeight="1">
      <c r="A53" s="1556" t="s">
        <v>16</v>
      </c>
      <c r="B53" s="1557" t="s">
        <v>1117</v>
      </c>
      <c r="C53" s="1557"/>
      <c r="D53" s="1557"/>
      <c r="E53" s="1557"/>
      <c r="F53" s="1557"/>
      <c r="G53" s="1557"/>
      <c r="H53" s="1557"/>
      <c r="I53" s="1557"/>
      <c r="J53" s="1558" t="s">
        <v>1118</v>
      </c>
      <c r="K53" s="1559"/>
      <c r="L53" s="1559"/>
      <c r="M53" s="1559"/>
      <c r="N53" s="1559"/>
      <c r="O53" s="1559"/>
      <c r="P53" s="1559"/>
      <c r="Q53" s="1559"/>
      <c r="R53" s="1560"/>
    </row>
    <row r="54" spans="1:19" s="553" customFormat="1" ht="26.25" customHeight="1">
      <c r="A54" s="1556"/>
      <c r="B54" s="1557"/>
      <c r="C54" s="1557"/>
      <c r="D54" s="1557"/>
      <c r="E54" s="1557"/>
      <c r="F54" s="1557"/>
      <c r="G54" s="1557"/>
      <c r="H54" s="1557"/>
      <c r="I54" s="1557"/>
      <c r="J54" s="1561"/>
      <c r="K54" s="1562"/>
      <c r="L54" s="1562"/>
      <c r="M54" s="1562"/>
      <c r="N54" s="1562"/>
      <c r="O54" s="1562"/>
      <c r="P54" s="1562"/>
      <c r="Q54" s="1562"/>
      <c r="R54" s="1563"/>
    </row>
    <row r="55" spans="1:19" s="553" customFormat="1" ht="18">
      <c r="A55" s="943">
        <v>1</v>
      </c>
      <c r="B55" s="939" t="e">
        <f>#REF!</f>
        <v>#REF!</v>
      </c>
      <c r="C55" s="940"/>
      <c r="D55" s="941"/>
      <c r="E55" s="941"/>
      <c r="F55" s="941"/>
      <c r="G55" s="941"/>
      <c r="H55" s="941"/>
      <c r="I55" s="942"/>
      <c r="J55" s="1551" t="s">
        <v>1119</v>
      </c>
      <c r="K55" s="1551"/>
      <c r="L55" s="1551"/>
      <c r="M55" s="1551"/>
      <c r="N55" s="1551"/>
      <c r="O55" s="1551"/>
      <c r="P55" s="1551"/>
      <c r="Q55" s="1551"/>
      <c r="R55" s="1552"/>
    </row>
    <row r="56" spans="1:19" s="553" customFormat="1" ht="18">
      <c r="A56" s="926">
        <v>2</v>
      </c>
      <c r="B56" s="927" t="e">
        <f>#REF!</f>
        <v>#REF!</v>
      </c>
      <c r="C56" s="928"/>
      <c r="D56" s="604"/>
      <c r="E56" s="604"/>
      <c r="F56" s="604"/>
      <c r="G56" s="604"/>
      <c r="H56" s="604"/>
      <c r="I56" s="929"/>
      <c r="J56" s="1551"/>
      <c r="K56" s="1551"/>
      <c r="L56" s="1551"/>
      <c r="M56" s="1551"/>
      <c r="N56" s="1551"/>
      <c r="O56" s="1551"/>
      <c r="P56" s="1551"/>
      <c r="Q56" s="1551"/>
      <c r="R56" s="1552"/>
    </row>
    <row r="57" spans="1:19" s="553" customFormat="1" ht="18">
      <c r="A57" s="926">
        <v>3</v>
      </c>
      <c r="B57" s="927" t="e">
        <f>#REF!</f>
        <v>#REF!</v>
      </c>
      <c r="C57" s="928"/>
      <c r="D57" s="604"/>
      <c r="E57" s="604"/>
      <c r="F57" s="604"/>
      <c r="G57" s="604"/>
      <c r="H57" s="604"/>
      <c r="I57" s="929"/>
      <c r="J57" s="1551"/>
      <c r="K57" s="1551"/>
      <c r="L57" s="1551"/>
      <c r="M57" s="1551"/>
      <c r="N57" s="1551"/>
      <c r="O57" s="1551"/>
      <c r="P57" s="1551"/>
      <c r="Q57" s="1551"/>
      <c r="R57" s="1552"/>
    </row>
    <row r="58" spans="1:19" s="553" customFormat="1" ht="18">
      <c r="A58" s="926">
        <v>4</v>
      </c>
      <c r="B58" s="927" t="e">
        <f>#REF!</f>
        <v>#REF!</v>
      </c>
      <c r="C58" s="928"/>
      <c r="D58" s="604"/>
      <c r="E58" s="604"/>
      <c r="F58" s="604"/>
      <c r="G58" s="604"/>
      <c r="H58" s="604"/>
      <c r="I58" s="929"/>
      <c r="J58" s="1551"/>
      <c r="K58" s="1551"/>
      <c r="L58" s="1551"/>
      <c r="M58" s="1551"/>
      <c r="N58" s="1551"/>
      <c r="O58" s="1551"/>
      <c r="P58" s="1551"/>
      <c r="Q58" s="1551"/>
      <c r="R58" s="1552"/>
    </row>
    <row r="59" spans="1:19" s="553" customFormat="1" ht="18">
      <c r="A59" s="926">
        <v>5</v>
      </c>
      <c r="B59" s="927" t="e">
        <f>#REF!</f>
        <v>#REF!</v>
      </c>
      <c r="C59" s="928"/>
      <c r="D59" s="604"/>
      <c r="E59" s="604"/>
      <c r="F59" s="604"/>
      <c r="G59" s="604"/>
      <c r="H59" s="604"/>
      <c r="I59" s="929"/>
      <c r="J59" s="1551"/>
      <c r="K59" s="1551"/>
      <c r="L59" s="1551"/>
      <c r="M59" s="1551"/>
      <c r="N59" s="1551"/>
      <c r="O59" s="1551"/>
      <c r="P59" s="1551"/>
      <c r="Q59" s="1551"/>
      <c r="R59" s="1552"/>
    </row>
    <row r="60" spans="1:19" s="553" customFormat="1" ht="18">
      <c r="A60" s="926">
        <v>6</v>
      </c>
      <c r="B60" s="927" t="e">
        <f>#REF!</f>
        <v>#REF!</v>
      </c>
      <c r="C60" s="928"/>
      <c r="D60" s="604"/>
      <c r="E60" s="604"/>
      <c r="F60" s="604"/>
      <c r="G60" s="604"/>
      <c r="H60" s="604"/>
      <c r="I60" s="929"/>
      <c r="J60" s="1551"/>
      <c r="K60" s="1551"/>
      <c r="L60" s="1551"/>
      <c r="M60" s="1551"/>
      <c r="N60" s="1551"/>
      <c r="O60" s="1551"/>
      <c r="P60" s="1551"/>
      <c r="Q60" s="1551"/>
      <c r="R60" s="1552"/>
    </row>
    <row r="61" spans="1:19" s="553" customFormat="1" ht="18">
      <c r="A61" s="926">
        <v>7</v>
      </c>
      <c r="B61" s="927" t="e">
        <f>#REF!</f>
        <v>#REF!</v>
      </c>
      <c r="C61" s="928"/>
      <c r="D61" s="604"/>
      <c r="E61" s="604"/>
      <c r="F61" s="604"/>
      <c r="G61" s="604"/>
      <c r="H61" s="604"/>
      <c r="I61" s="929"/>
      <c r="J61" s="1551"/>
      <c r="K61" s="1551"/>
      <c r="L61" s="1551"/>
      <c r="M61" s="1551"/>
      <c r="N61" s="1551"/>
      <c r="O61" s="1551"/>
      <c r="P61" s="1551"/>
      <c r="Q61" s="1551"/>
      <c r="R61" s="1552"/>
    </row>
    <row r="62" spans="1:19" s="553" customFormat="1" ht="18">
      <c r="A62" s="926">
        <v>8</v>
      </c>
      <c r="B62" s="927" t="e">
        <f>#REF!</f>
        <v>#REF!</v>
      </c>
      <c r="C62" s="928"/>
      <c r="D62" s="604"/>
      <c r="E62" s="604"/>
      <c r="F62" s="604"/>
      <c r="G62" s="604"/>
      <c r="H62" s="604"/>
      <c r="I62" s="929"/>
      <c r="J62" s="1551"/>
      <c r="K62" s="1551"/>
      <c r="L62" s="1551"/>
      <c r="M62" s="1551"/>
      <c r="N62" s="1551"/>
      <c r="O62" s="1551"/>
      <c r="P62" s="1551"/>
      <c r="Q62" s="1551"/>
      <c r="R62" s="1552"/>
    </row>
    <row r="63" spans="1:19" s="553" customFormat="1" ht="18">
      <c r="A63" s="926">
        <v>9</v>
      </c>
      <c r="B63" s="927" t="e">
        <f>#REF!</f>
        <v>#REF!</v>
      </c>
      <c r="C63" s="928"/>
      <c r="D63" s="604"/>
      <c r="E63" s="604"/>
      <c r="F63" s="604"/>
      <c r="G63" s="604"/>
      <c r="H63" s="604"/>
      <c r="I63" s="929"/>
      <c r="J63" s="1551"/>
      <c r="K63" s="1551"/>
      <c r="L63" s="1551"/>
      <c r="M63" s="1551"/>
      <c r="N63" s="1551"/>
      <c r="O63" s="1551"/>
      <c r="P63" s="1551"/>
      <c r="Q63" s="1551"/>
      <c r="R63" s="1552"/>
    </row>
    <row r="64" spans="1:19" s="553" customFormat="1" ht="18">
      <c r="A64" s="926">
        <v>10</v>
      </c>
      <c r="B64" s="927" t="e">
        <f>#REF!</f>
        <v>#REF!</v>
      </c>
      <c r="C64" s="928"/>
      <c r="D64" s="604"/>
      <c r="E64" s="604"/>
      <c r="F64" s="604"/>
      <c r="G64" s="604"/>
      <c r="H64" s="604"/>
      <c r="I64" s="929"/>
      <c r="J64" s="1551"/>
      <c r="K64" s="1551"/>
      <c r="L64" s="1551"/>
      <c r="M64" s="1551"/>
      <c r="N64" s="1551"/>
      <c r="O64" s="1551"/>
      <c r="P64" s="1551"/>
      <c r="Q64" s="1551"/>
      <c r="R64" s="1552"/>
    </row>
    <row r="65" spans="1:18" s="553" customFormat="1" ht="18">
      <c r="A65" s="926">
        <v>3</v>
      </c>
      <c r="B65" s="927" t="e">
        <f>#REF!</f>
        <v>#REF!</v>
      </c>
      <c r="C65" s="928"/>
      <c r="D65" s="604"/>
      <c r="E65" s="604"/>
      <c r="F65" s="604"/>
      <c r="G65" s="604"/>
      <c r="H65" s="604"/>
      <c r="I65" s="929"/>
      <c r="J65" s="1551"/>
      <c r="K65" s="1551"/>
      <c r="L65" s="1551"/>
      <c r="M65" s="1551"/>
      <c r="N65" s="1551"/>
      <c r="O65" s="1551"/>
      <c r="P65" s="1551"/>
      <c r="Q65" s="1551"/>
      <c r="R65" s="1552"/>
    </row>
    <row r="66" spans="1:18" s="553" customFormat="1" ht="18">
      <c r="A66" s="926">
        <v>4</v>
      </c>
      <c r="B66" s="927" t="e">
        <f>#REF!</f>
        <v>#REF!</v>
      </c>
      <c r="C66" s="928"/>
      <c r="D66" s="604"/>
      <c r="E66" s="604"/>
      <c r="F66" s="604"/>
      <c r="G66" s="604"/>
      <c r="H66" s="604"/>
      <c r="I66" s="929"/>
      <c r="J66" s="1551"/>
      <c r="K66" s="1551"/>
      <c r="L66" s="1551"/>
      <c r="M66" s="1551"/>
      <c r="N66" s="1551"/>
      <c r="O66" s="1551"/>
      <c r="P66" s="1551"/>
      <c r="Q66" s="1551"/>
      <c r="R66" s="1552"/>
    </row>
    <row r="67" spans="1:18" s="553" customFormat="1" ht="18">
      <c r="A67" s="926">
        <v>5</v>
      </c>
      <c r="B67" s="927" t="e">
        <f>#REF!</f>
        <v>#REF!</v>
      </c>
      <c r="C67" s="928"/>
      <c r="D67" s="604"/>
      <c r="E67" s="604"/>
      <c r="F67" s="604"/>
      <c r="G67" s="604"/>
      <c r="H67" s="604"/>
      <c r="I67" s="929"/>
      <c r="J67" s="1551"/>
      <c r="K67" s="1551"/>
      <c r="L67" s="1551"/>
      <c r="M67" s="1551"/>
      <c r="N67" s="1551"/>
      <c r="O67" s="1551"/>
      <c r="P67" s="1551"/>
      <c r="Q67" s="1551"/>
      <c r="R67" s="1552"/>
    </row>
    <row r="68" spans="1:18" s="553" customFormat="1" ht="18">
      <c r="A68" s="926">
        <v>6</v>
      </c>
      <c r="B68" s="927" t="e">
        <f>#REF!</f>
        <v>#REF!</v>
      </c>
      <c r="C68" s="928"/>
      <c r="D68" s="604"/>
      <c r="E68" s="604"/>
      <c r="F68" s="604"/>
      <c r="G68" s="604"/>
      <c r="H68" s="604"/>
      <c r="I68" s="929"/>
      <c r="J68" s="1551"/>
      <c r="K68" s="1551"/>
      <c r="L68" s="1551"/>
      <c r="M68" s="1551"/>
      <c r="N68" s="1551"/>
      <c r="O68" s="1551"/>
      <c r="P68" s="1551"/>
      <c r="Q68" s="1551"/>
      <c r="R68" s="1552"/>
    </row>
    <row r="69" spans="1:18" s="553" customFormat="1" ht="18">
      <c r="A69" s="926">
        <v>7</v>
      </c>
      <c r="B69" s="927" t="e">
        <f>#REF!</f>
        <v>#REF!</v>
      </c>
      <c r="C69" s="928"/>
      <c r="D69" s="604"/>
      <c r="E69" s="604"/>
      <c r="F69" s="604"/>
      <c r="G69" s="604"/>
      <c r="H69" s="604"/>
      <c r="I69" s="929"/>
      <c r="J69" s="1551"/>
      <c r="K69" s="1551"/>
      <c r="L69" s="1551"/>
      <c r="M69" s="1551"/>
      <c r="N69" s="1551"/>
      <c r="O69" s="1551"/>
      <c r="P69" s="1551"/>
      <c r="Q69" s="1551"/>
      <c r="R69" s="1552"/>
    </row>
    <row r="70" spans="1:18" s="553" customFormat="1" ht="18">
      <c r="A70" s="926">
        <v>8</v>
      </c>
      <c r="B70" s="927" t="e">
        <f>#REF!</f>
        <v>#REF!</v>
      </c>
      <c r="C70" s="928"/>
      <c r="D70" s="604"/>
      <c r="E70" s="604"/>
      <c r="F70" s="604"/>
      <c r="G70" s="604"/>
      <c r="H70" s="604"/>
      <c r="I70" s="929"/>
      <c r="J70" s="1551"/>
      <c r="K70" s="1551"/>
      <c r="L70" s="1551"/>
      <c r="M70" s="1551"/>
      <c r="N70" s="1551"/>
      <c r="O70" s="1551"/>
      <c r="P70" s="1551"/>
      <c r="Q70" s="1551"/>
      <c r="R70" s="1552"/>
    </row>
    <row r="71" spans="1:18" s="553" customFormat="1" ht="18">
      <c r="A71" s="926">
        <v>9</v>
      </c>
      <c r="B71" s="927" t="e">
        <f>#REF!</f>
        <v>#REF!</v>
      </c>
      <c r="C71" s="928"/>
      <c r="D71" s="604"/>
      <c r="E71" s="604"/>
      <c r="F71" s="604"/>
      <c r="G71" s="604"/>
      <c r="H71" s="604"/>
      <c r="I71" s="929"/>
      <c r="J71" s="1551"/>
      <c r="K71" s="1551"/>
      <c r="L71" s="1551"/>
      <c r="M71" s="1551"/>
      <c r="N71" s="1551"/>
      <c r="O71" s="1551"/>
      <c r="P71" s="1551"/>
      <c r="Q71" s="1551"/>
      <c r="R71" s="1552"/>
    </row>
    <row r="72" spans="1:18" s="553" customFormat="1" ht="18">
      <c r="A72" s="926">
        <v>8</v>
      </c>
      <c r="B72" s="927" t="e">
        <f>#REF!</f>
        <v>#REF!</v>
      </c>
      <c r="C72" s="928"/>
      <c r="D72" s="604"/>
      <c r="E72" s="604"/>
      <c r="F72" s="604"/>
      <c r="G72" s="604"/>
      <c r="H72" s="604"/>
      <c r="I72" s="929"/>
      <c r="J72" s="1551"/>
      <c r="K72" s="1551"/>
      <c r="L72" s="1551"/>
      <c r="M72" s="1551"/>
      <c r="N72" s="1551"/>
      <c r="O72" s="1551"/>
      <c r="P72" s="1551"/>
      <c r="Q72" s="1551"/>
      <c r="R72" s="1552"/>
    </row>
    <row r="73" spans="1:18" s="553" customFormat="1" ht="18">
      <c r="A73" s="926">
        <v>9</v>
      </c>
      <c r="B73" s="927" t="e">
        <f>#REF!</f>
        <v>#REF!</v>
      </c>
      <c r="C73" s="928"/>
      <c r="D73" s="604"/>
      <c r="E73" s="604"/>
      <c r="F73" s="604"/>
      <c r="G73" s="604"/>
      <c r="H73" s="604"/>
      <c r="I73" s="929"/>
      <c r="J73" s="1551"/>
      <c r="K73" s="1551"/>
      <c r="L73" s="1551"/>
      <c r="M73" s="1551"/>
      <c r="N73" s="1551"/>
      <c r="O73" s="1551"/>
      <c r="P73" s="1551"/>
      <c r="Q73" s="1551"/>
      <c r="R73" s="1552"/>
    </row>
    <row r="74" spans="1:18" s="553" customFormat="1" ht="18">
      <c r="A74" s="930">
        <v>10</v>
      </c>
      <c r="B74" s="938" t="e">
        <f>#REF!</f>
        <v>#REF!</v>
      </c>
      <c r="C74" s="931"/>
      <c r="D74" s="910"/>
      <c r="E74" s="910"/>
      <c r="F74" s="910"/>
      <c r="G74" s="910"/>
      <c r="H74" s="910"/>
      <c r="I74" s="932"/>
      <c r="J74" s="1553"/>
      <c r="K74" s="1553"/>
      <c r="L74" s="1553"/>
      <c r="M74" s="1553"/>
      <c r="N74" s="1553"/>
      <c r="O74" s="1553"/>
      <c r="P74" s="1553"/>
      <c r="Q74" s="1553"/>
      <c r="R74" s="1554"/>
    </row>
    <row r="75" spans="1:18" s="553" customFormat="1" ht="14.25">
      <c r="A75" s="902"/>
    </row>
    <row r="76" spans="1:18" s="553" customFormat="1" ht="18">
      <c r="A76" s="914" t="s">
        <v>1120</v>
      </c>
      <c r="B76" s="915" t="s">
        <v>1121</v>
      </c>
      <c r="C76" s="564"/>
      <c r="D76" s="564"/>
      <c r="E76" s="564"/>
      <c r="F76" s="564"/>
      <c r="G76" s="564"/>
      <c r="H76" s="564"/>
      <c r="I76" s="564"/>
      <c r="J76" s="564"/>
      <c r="K76" s="564"/>
      <c r="L76" s="564"/>
      <c r="M76" s="564"/>
      <c r="N76" s="564"/>
      <c r="O76" s="564"/>
      <c r="P76" s="564"/>
      <c r="Q76" s="564"/>
    </row>
    <row r="77" spans="1:18" s="553" customFormat="1" ht="11.25" customHeight="1"/>
    <row r="78" spans="1:18" s="553" customFormat="1" ht="18.75" customHeight="1">
      <c r="A78" s="933" t="s">
        <v>1122</v>
      </c>
      <c r="B78" s="912"/>
      <c r="C78" s="912"/>
      <c r="D78" s="912"/>
      <c r="E78" s="912"/>
      <c r="F78" s="912"/>
      <c r="G78" s="912"/>
      <c r="H78" s="912"/>
      <c r="I78" s="912"/>
      <c r="J78" s="912"/>
      <c r="K78" s="912"/>
      <c r="L78" s="912"/>
      <c r="M78" s="912"/>
      <c r="N78" s="912"/>
      <c r="O78" s="912"/>
      <c r="P78" s="912"/>
      <c r="Q78" s="912"/>
      <c r="R78" s="912"/>
    </row>
    <row r="79" spans="1:18" s="564" customFormat="1" ht="16.5" customHeight="1">
      <c r="A79" s="1545" t="s">
        <v>1123</v>
      </c>
      <c r="B79" s="1545"/>
      <c r="C79" s="1545"/>
      <c r="D79" s="1545"/>
      <c r="E79" s="1545"/>
      <c r="F79" s="1545"/>
      <c r="G79" s="1545"/>
      <c r="H79" s="1545"/>
      <c r="I79" s="1545"/>
      <c r="J79" s="1545"/>
      <c r="K79" s="1545"/>
      <c r="L79" s="1545"/>
      <c r="M79" s="1545"/>
      <c r="N79" s="1545"/>
      <c r="O79" s="1545"/>
      <c r="P79" s="1545"/>
      <c r="Q79" s="1545"/>
      <c r="R79" s="1545"/>
    </row>
    <row r="80" spans="1:18" s="553" customFormat="1" ht="18">
      <c r="A80" s="914" t="s">
        <v>1124</v>
      </c>
      <c r="B80" s="915" t="s">
        <v>1125</v>
      </c>
      <c r="C80" s="564"/>
      <c r="D80" s="564"/>
      <c r="E80" s="564"/>
      <c r="F80" s="564"/>
      <c r="G80" s="564"/>
      <c r="H80" s="564"/>
      <c r="I80" s="564"/>
      <c r="J80" s="564"/>
      <c r="K80" s="564"/>
      <c r="L80" s="564"/>
      <c r="M80" s="564"/>
      <c r="N80" s="564"/>
      <c r="O80" s="564"/>
      <c r="P80" s="564"/>
      <c r="Q80" s="564"/>
    </row>
    <row r="81" spans="1:18" s="934" customFormat="1" ht="30.75" customHeight="1"/>
    <row r="82" spans="1:18" s="934" customFormat="1" ht="27">
      <c r="A82" s="935" t="s">
        <v>0</v>
      </c>
      <c r="B82" s="1550" t="s">
        <v>1126</v>
      </c>
      <c r="C82" s="1550"/>
      <c r="D82" s="1550"/>
      <c r="E82" s="1550"/>
      <c r="F82" s="1550"/>
      <c r="G82" s="1550"/>
      <c r="H82" s="1550"/>
      <c r="I82" s="1550"/>
      <c r="J82" s="1550" t="s">
        <v>1127</v>
      </c>
      <c r="K82" s="1550"/>
      <c r="L82" s="1550" t="s">
        <v>1128</v>
      </c>
      <c r="M82" s="1550"/>
      <c r="N82" s="1550"/>
      <c r="O82" s="1550"/>
      <c r="P82" s="1550"/>
      <c r="Q82" s="1550" t="s">
        <v>1129</v>
      </c>
      <c r="R82" s="1550"/>
    </row>
    <row r="83" spans="1:18" s="934" customFormat="1" ht="14.25">
      <c r="A83" s="935" t="e">
        <f>#REF!</f>
        <v>#REF!</v>
      </c>
      <c r="B83" s="1548" t="e">
        <f>#REF!</f>
        <v>#REF!</v>
      </c>
      <c r="C83" s="1548"/>
      <c r="D83" s="1548"/>
      <c r="E83" s="1548"/>
      <c r="F83" s="1548"/>
      <c r="G83" s="1548"/>
      <c r="H83" s="1548"/>
      <c r="I83" s="1548"/>
      <c r="J83" s="1549" t="e">
        <f>#REF!</f>
        <v>#REF!</v>
      </c>
      <c r="K83" s="1550"/>
      <c r="L83" s="1550" t="e">
        <f>#REF!</f>
        <v>#REF!</v>
      </c>
      <c r="M83" s="1550"/>
      <c r="N83" s="1550"/>
      <c r="O83" s="1550"/>
      <c r="P83" s="1550"/>
      <c r="Q83" s="1550" t="s">
        <v>1130</v>
      </c>
      <c r="R83" s="1550"/>
    </row>
    <row r="84" spans="1:18" s="934" customFormat="1" ht="32.25" customHeight="1">
      <c r="A84" s="935" t="e">
        <f>#REF!</f>
        <v>#REF!</v>
      </c>
      <c r="B84" s="1548" t="e">
        <f>#REF!</f>
        <v>#REF!</v>
      </c>
      <c r="C84" s="1548"/>
      <c r="D84" s="1548"/>
      <c r="E84" s="1548"/>
      <c r="F84" s="1548"/>
      <c r="G84" s="1548"/>
      <c r="H84" s="1548"/>
      <c r="I84" s="1548"/>
      <c r="J84" s="1549" t="e">
        <f>#REF!</f>
        <v>#REF!</v>
      </c>
      <c r="K84" s="1550"/>
      <c r="L84" s="1550" t="e">
        <f>#REF!</f>
        <v>#REF!</v>
      </c>
      <c r="M84" s="1550"/>
      <c r="N84" s="1550"/>
      <c r="O84" s="1550"/>
      <c r="P84" s="1550"/>
      <c r="Q84" s="1550" t="s">
        <v>1130</v>
      </c>
      <c r="R84" s="1550"/>
    </row>
    <row r="85" spans="1:18" s="934" customFormat="1" ht="30.75" customHeight="1">
      <c r="A85" s="935" t="e">
        <f>#REF!</f>
        <v>#REF!</v>
      </c>
      <c r="B85" s="1548" t="e">
        <f>#REF!</f>
        <v>#REF!</v>
      </c>
      <c r="C85" s="1548"/>
      <c r="D85" s="1548"/>
      <c r="E85" s="1548"/>
      <c r="F85" s="1548"/>
      <c r="G85" s="1548"/>
      <c r="H85" s="1548"/>
      <c r="I85" s="1548"/>
      <c r="J85" s="1549" t="e">
        <f>#REF!</f>
        <v>#REF!</v>
      </c>
      <c r="K85" s="1550"/>
      <c r="L85" s="1550" t="e">
        <f>#REF!</f>
        <v>#REF!</v>
      </c>
      <c r="M85" s="1550"/>
      <c r="N85" s="1550"/>
      <c r="O85" s="1550"/>
      <c r="P85" s="1550"/>
      <c r="Q85" s="1550" t="s">
        <v>1130</v>
      </c>
      <c r="R85" s="1550"/>
    </row>
    <row r="86" spans="1:18" s="934" customFormat="1" ht="15.75" customHeight="1">
      <c r="A86" s="935" t="e">
        <f>#REF!</f>
        <v>#REF!</v>
      </c>
      <c r="B86" s="1548" t="e">
        <f>#REF!</f>
        <v>#REF!</v>
      </c>
      <c r="C86" s="1548"/>
      <c r="D86" s="1548"/>
      <c r="E86" s="1548"/>
      <c r="F86" s="1548"/>
      <c r="G86" s="1548"/>
      <c r="H86" s="1548"/>
      <c r="I86" s="1548"/>
      <c r="J86" s="1549" t="e">
        <f>#REF!</f>
        <v>#REF!</v>
      </c>
      <c r="K86" s="1550"/>
      <c r="L86" s="1550" t="e">
        <f>#REF!</f>
        <v>#REF!</v>
      </c>
      <c r="M86" s="1550"/>
      <c r="N86" s="1550"/>
      <c r="O86" s="1550"/>
      <c r="P86" s="1550"/>
      <c r="Q86" s="1550" t="s">
        <v>1130</v>
      </c>
      <c r="R86" s="1550"/>
    </row>
    <row r="87" spans="1:18" s="934" customFormat="1" ht="34.5" customHeight="1">
      <c r="A87" s="935" t="e">
        <f>#REF!</f>
        <v>#REF!</v>
      </c>
      <c r="B87" s="1548" t="e">
        <f>#REF!</f>
        <v>#REF!</v>
      </c>
      <c r="C87" s="1548"/>
      <c r="D87" s="1548"/>
      <c r="E87" s="1548"/>
      <c r="F87" s="1548"/>
      <c r="G87" s="1548"/>
      <c r="H87" s="1548"/>
      <c r="I87" s="1548"/>
      <c r="J87" s="1549" t="e">
        <f>#REF!</f>
        <v>#REF!</v>
      </c>
      <c r="K87" s="1550"/>
      <c r="L87" s="1550" t="e">
        <f>#REF!</f>
        <v>#REF!</v>
      </c>
      <c r="M87" s="1550"/>
      <c r="N87" s="1550"/>
      <c r="O87" s="1550"/>
      <c r="P87" s="1550"/>
      <c r="Q87" s="1550" t="s">
        <v>1130</v>
      </c>
      <c r="R87" s="1550"/>
    </row>
    <row r="88" spans="1:18" s="934" customFormat="1" ht="15.75" customHeight="1">
      <c r="A88" s="935" t="e">
        <f>#REF!</f>
        <v>#REF!</v>
      </c>
      <c r="B88" s="1548" t="e">
        <f>#REF!</f>
        <v>#REF!</v>
      </c>
      <c r="C88" s="1548"/>
      <c r="D88" s="1548"/>
      <c r="E88" s="1548"/>
      <c r="F88" s="1548"/>
      <c r="G88" s="1548"/>
      <c r="H88" s="1548"/>
      <c r="I88" s="1548"/>
      <c r="J88" s="1549" t="e">
        <f>#REF!</f>
        <v>#REF!</v>
      </c>
      <c r="K88" s="1550"/>
      <c r="L88" s="1550" t="e">
        <f>#REF!</f>
        <v>#REF!</v>
      </c>
      <c r="M88" s="1550"/>
      <c r="N88" s="1550"/>
      <c r="O88" s="1550"/>
      <c r="P88" s="1550"/>
      <c r="Q88" s="1550" t="s">
        <v>1130</v>
      </c>
      <c r="R88" s="1550"/>
    </row>
    <row r="89" spans="1:18" s="934" customFormat="1" ht="15.75" customHeight="1">
      <c r="A89" s="935" t="e">
        <f>#REF!</f>
        <v>#REF!</v>
      </c>
      <c r="B89" s="1548" t="e">
        <f>#REF!</f>
        <v>#REF!</v>
      </c>
      <c r="C89" s="1548"/>
      <c r="D89" s="1548"/>
      <c r="E89" s="1548"/>
      <c r="F89" s="1548"/>
      <c r="G89" s="1548"/>
      <c r="H89" s="1548"/>
      <c r="I89" s="1548"/>
      <c r="J89" s="1549" t="e">
        <f>#REF!</f>
        <v>#REF!</v>
      </c>
      <c r="K89" s="1550"/>
      <c r="L89" s="1550" t="e">
        <f>#REF!</f>
        <v>#REF!</v>
      </c>
      <c r="M89" s="1550"/>
      <c r="N89" s="1550"/>
      <c r="O89" s="1550"/>
      <c r="P89" s="1550"/>
      <c r="Q89" s="1550" t="s">
        <v>1130</v>
      </c>
      <c r="R89" s="1550"/>
    </row>
    <row r="90" spans="1:18" s="934" customFormat="1" ht="15.75" customHeight="1">
      <c r="A90" s="935" t="e">
        <f>#REF!</f>
        <v>#REF!</v>
      </c>
      <c r="B90" s="1548" t="e">
        <f>#REF!</f>
        <v>#REF!</v>
      </c>
      <c r="C90" s="1548"/>
      <c r="D90" s="1548"/>
      <c r="E90" s="1548"/>
      <c r="F90" s="1548"/>
      <c r="G90" s="1548"/>
      <c r="H90" s="1548"/>
      <c r="I90" s="1548"/>
      <c r="J90" s="1549" t="e">
        <f>#REF!</f>
        <v>#REF!</v>
      </c>
      <c r="K90" s="1550"/>
      <c r="L90" s="1550" t="e">
        <f>#REF!</f>
        <v>#REF!</v>
      </c>
      <c r="M90" s="1550"/>
      <c r="N90" s="1550"/>
      <c r="O90" s="1550"/>
      <c r="P90" s="1550"/>
      <c r="Q90" s="1550" t="s">
        <v>1130</v>
      </c>
      <c r="R90" s="1550"/>
    </row>
    <row r="91" spans="1:18" s="934" customFormat="1" ht="15.75" customHeight="1">
      <c r="A91" s="935" t="e">
        <f>#REF!</f>
        <v>#REF!</v>
      </c>
      <c r="B91" s="1548" t="e">
        <f>#REF!</f>
        <v>#REF!</v>
      </c>
      <c r="C91" s="1548"/>
      <c r="D91" s="1548"/>
      <c r="E91" s="1548"/>
      <c r="F91" s="1548"/>
      <c r="G91" s="1548"/>
      <c r="H91" s="1548"/>
      <c r="I91" s="1548"/>
      <c r="J91" s="1549" t="e">
        <f>#REF!</f>
        <v>#REF!</v>
      </c>
      <c r="K91" s="1550"/>
      <c r="L91" s="1550" t="e">
        <f>#REF!</f>
        <v>#REF!</v>
      </c>
      <c r="M91" s="1550"/>
      <c r="N91" s="1550"/>
      <c r="O91" s="1550"/>
      <c r="P91" s="1550"/>
      <c r="Q91" s="1550" t="s">
        <v>1130</v>
      </c>
      <c r="R91" s="1550"/>
    </row>
    <row r="92" spans="1:18" s="934" customFormat="1" ht="15.75" customHeight="1">
      <c r="A92" s="935" t="e">
        <f>#REF!</f>
        <v>#REF!</v>
      </c>
      <c r="B92" s="1548" t="e">
        <f>#REF!</f>
        <v>#REF!</v>
      </c>
      <c r="C92" s="1548"/>
      <c r="D92" s="1548"/>
      <c r="E92" s="1548"/>
      <c r="F92" s="1548"/>
      <c r="G92" s="1548"/>
      <c r="H92" s="1548"/>
      <c r="I92" s="1548"/>
      <c r="J92" s="1549" t="e">
        <f>#REF!</f>
        <v>#REF!</v>
      </c>
      <c r="K92" s="1550"/>
      <c r="L92" s="1550" t="e">
        <f>#REF!</f>
        <v>#REF!</v>
      </c>
      <c r="M92" s="1550"/>
      <c r="N92" s="1550"/>
      <c r="O92" s="1550"/>
      <c r="P92" s="1550"/>
      <c r="Q92" s="1550" t="s">
        <v>1130</v>
      </c>
      <c r="R92" s="1550"/>
    </row>
    <row r="93" spans="1:18" s="934" customFormat="1" ht="15.75" customHeight="1">
      <c r="A93" s="935" t="e">
        <f>#REF!</f>
        <v>#REF!</v>
      </c>
      <c r="B93" s="1548" t="e">
        <f>#REF!</f>
        <v>#REF!</v>
      </c>
      <c r="C93" s="1548"/>
      <c r="D93" s="1548"/>
      <c r="E93" s="1548"/>
      <c r="F93" s="1548"/>
      <c r="G93" s="1548"/>
      <c r="H93" s="1548"/>
      <c r="I93" s="1548"/>
      <c r="J93" s="1549" t="e">
        <f>#REF!</f>
        <v>#REF!</v>
      </c>
      <c r="K93" s="1550"/>
      <c r="L93" s="1550" t="e">
        <f>#REF!</f>
        <v>#REF!</v>
      </c>
      <c r="M93" s="1550"/>
      <c r="N93" s="1550"/>
      <c r="O93" s="1550"/>
      <c r="P93" s="1550"/>
      <c r="Q93" s="1550" t="s">
        <v>1130</v>
      </c>
      <c r="R93" s="1550"/>
    </row>
    <row r="94" spans="1:18" s="934" customFormat="1" ht="15.75" customHeight="1">
      <c r="A94" s="935" t="e">
        <f>#REF!</f>
        <v>#REF!</v>
      </c>
      <c r="B94" s="1548" t="e">
        <f>#REF!</f>
        <v>#REF!</v>
      </c>
      <c r="C94" s="1548"/>
      <c r="D94" s="1548"/>
      <c r="E94" s="1548"/>
      <c r="F94" s="1548"/>
      <c r="G94" s="1548"/>
      <c r="H94" s="1548"/>
      <c r="I94" s="1548"/>
      <c r="J94" s="1549" t="e">
        <f>#REF!</f>
        <v>#REF!</v>
      </c>
      <c r="K94" s="1550"/>
      <c r="L94" s="1550" t="e">
        <f>#REF!</f>
        <v>#REF!</v>
      </c>
      <c r="M94" s="1550"/>
      <c r="N94" s="1550"/>
      <c r="O94" s="1550"/>
      <c r="P94" s="1550"/>
      <c r="Q94" s="1550" t="s">
        <v>1130</v>
      </c>
      <c r="R94" s="1550"/>
    </row>
    <row r="95" spans="1:18" s="934" customFormat="1" ht="15.75" customHeight="1">
      <c r="A95" s="935" t="e">
        <f>#REF!</f>
        <v>#REF!</v>
      </c>
      <c r="B95" s="1548" t="e">
        <f>#REF!</f>
        <v>#REF!</v>
      </c>
      <c r="C95" s="1548"/>
      <c r="D95" s="1548"/>
      <c r="E95" s="1548"/>
      <c r="F95" s="1548"/>
      <c r="G95" s="1548"/>
      <c r="H95" s="1548"/>
      <c r="I95" s="1548"/>
      <c r="J95" s="1549" t="e">
        <f>#REF!</f>
        <v>#REF!</v>
      </c>
      <c r="K95" s="1550"/>
      <c r="L95" s="1550" t="e">
        <f>#REF!</f>
        <v>#REF!</v>
      </c>
      <c r="M95" s="1550"/>
      <c r="N95" s="1550"/>
      <c r="O95" s="1550"/>
      <c r="P95" s="1550"/>
      <c r="Q95" s="1550" t="s">
        <v>1130</v>
      </c>
      <c r="R95" s="1550"/>
    </row>
    <row r="96" spans="1:18" s="934" customFormat="1" ht="15.75" customHeight="1">
      <c r="A96" s="935" t="e">
        <f>#REF!</f>
        <v>#REF!</v>
      </c>
      <c r="B96" s="1548" t="e">
        <f>#REF!</f>
        <v>#REF!</v>
      </c>
      <c r="C96" s="1548"/>
      <c r="D96" s="1548"/>
      <c r="E96" s="1548"/>
      <c r="F96" s="1548"/>
      <c r="G96" s="1548"/>
      <c r="H96" s="1548"/>
      <c r="I96" s="1548"/>
      <c r="J96" s="1549" t="e">
        <f>#REF!</f>
        <v>#REF!</v>
      </c>
      <c r="K96" s="1550"/>
      <c r="L96" s="1550" t="e">
        <f>#REF!</f>
        <v>#REF!</v>
      </c>
      <c r="M96" s="1550"/>
      <c r="N96" s="1550"/>
      <c r="O96" s="1550"/>
      <c r="P96" s="1550"/>
      <c r="Q96" s="1550" t="s">
        <v>1130</v>
      </c>
      <c r="R96" s="1550"/>
    </row>
    <row r="97" spans="1:18" s="934" customFormat="1" ht="15.75" customHeight="1">
      <c r="A97" s="935" t="e">
        <f>#REF!</f>
        <v>#REF!</v>
      </c>
      <c r="B97" s="1548" t="e">
        <f>#REF!</f>
        <v>#REF!</v>
      </c>
      <c r="C97" s="1548"/>
      <c r="D97" s="1548"/>
      <c r="E97" s="1548"/>
      <c r="F97" s="1548"/>
      <c r="G97" s="1548"/>
      <c r="H97" s="1548"/>
      <c r="I97" s="1548"/>
      <c r="J97" s="1549" t="e">
        <f>#REF!</f>
        <v>#REF!</v>
      </c>
      <c r="K97" s="1550"/>
      <c r="L97" s="1550" t="e">
        <f>#REF!</f>
        <v>#REF!</v>
      </c>
      <c r="M97" s="1550"/>
      <c r="N97" s="1550"/>
      <c r="O97" s="1550"/>
      <c r="P97" s="1550"/>
      <c r="Q97" s="1550" t="s">
        <v>1130</v>
      </c>
      <c r="R97" s="1550"/>
    </row>
    <row r="98" spans="1:18" s="934" customFormat="1" ht="15.75" customHeight="1">
      <c r="A98" s="935" t="e">
        <f>#REF!</f>
        <v>#REF!</v>
      </c>
      <c r="B98" s="1548" t="e">
        <f>#REF!</f>
        <v>#REF!</v>
      </c>
      <c r="C98" s="1548"/>
      <c r="D98" s="1548"/>
      <c r="E98" s="1548"/>
      <c r="F98" s="1548"/>
      <c r="G98" s="1548"/>
      <c r="H98" s="1548"/>
      <c r="I98" s="1548"/>
      <c r="J98" s="1549" t="e">
        <f>#REF!</f>
        <v>#REF!</v>
      </c>
      <c r="K98" s="1550"/>
      <c r="L98" s="1550" t="e">
        <f>#REF!</f>
        <v>#REF!</v>
      </c>
      <c r="M98" s="1550"/>
      <c r="N98" s="1550"/>
      <c r="O98" s="1550"/>
      <c r="P98" s="1550"/>
      <c r="Q98" s="1550" t="s">
        <v>1130</v>
      </c>
      <c r="R98" s="1550"/>
    </row>
    <row r="99" spans="1:18" s="934" customFormat="1" ht="15.75" customHeight="1">
      <c r="A99" s="935" t="e">
        <f>#REF!</f>
        <v>#REF!</v>
      </c>
      <c r="B99" s="1548" t="e">
        <f>#REF!</f>
        <v>#REF!</v>
      </c>
      <c r="C99" s="1548"/>
      <c r="D99" s="1548"/>
      <c r="E99" s="1548"/>
      <c r="F99" s="1548"/>
      <c r="G99" s="1548"/>
      <c r="H99" s="1548"/>
      <c r="I99" s="1548"/>
      <c r="J99" s="1549" t="e">
        <f>#REF!</f>
        <v>#REF!</v>
      </c>
      <c r="K99" s="1550"/>
      <c r="L99" s="1550" t="e">
        <f>#REF!</f>
        <v>#REF!</v>
      </c>
      <c r="M99" s="1550"/>
      <c r="N99" s="1550"/>
      <c r="O99" s="1550"/>
      <c r="P99" s="1550"/>
      <c r="Q99" s="1550" t="s">
        <v>1130</v>
      </c>
      <c r="R99" s="1550"/>
    </row>
    <row r="100" spans="1:18" s="934" customFormat="1" ht="15.75" customHeight="1">
      <c r="A100" s="935" t="e">
        <f>#REF!</f>
        <v>#REF!</v>
      </c>
      <c r="B100" s="1548" t="e">
        <f>#REF!</f>
        <v>#REF!</v>
      </c>
      <c r="C100" s="1548"/>
      <c r="D100" s="1548"/>
      <c r="E100" s="1548"/>
      <c r="F100" s="1548"/>
      <c r="G100" s="1548"/>
      <c r="H100" s="1548"/>
      <c r="I100" s="1548"/>
      <c r="J100" s="1549" t="e">
        <f>#REF!</f>
        <v>#REF!</v>
      </c>
      <c r="K100" s="1550"/>
      <c r="L100" s="1550" t="e">
        <f>#REF!</f>
        <v>#REF!</v>
      </c>
      <c r="M100" s="1550"/>
      <c r="N100" s="1550"/>
      <c r="O100" s="1550"/>
      <c r="P100" s="1550"/>
      <c r="Q100" s="1550" t="s">
        <v>1130</v>
      </c>
      <c r="R100" s="1550"/>
    </row>
    <row r="101" spans="1:18" s="934" customFormat="1" ht="15.75" customHeight="1">
      <c r="A101" s="935" t="e">
        <f>#REF!</f>
        <v>#REF!</v>
      </c>
      <c r="B101" s="1548" t="e">
        <f>#REF!</f>
        <v>#REF!</v>
      </c>
      <c r="C101" s="1548"/>
      <c r="D101" s="1548"/>
      <c r="E101" s="1548"/>
      <c r="F101" s="1548"/>
      <c r="G101" s="1548"/>
      <c r="H101" s="1548"/>
      <c r="I101" s="1548"/>
      <c r="J101" s="1549" t="e">
        <f>#REF!</f>
        <v>#REF!</v>
      </c>
      <c r="K101" s="1550"/>
      <c r="L101" s="1550" t="e">
        <f>#REF!</f>
        <v>#REF!</v>
      </c>
      <c r="M101" s="1550"/>
      <c r="N101" s="1550"/>
      <c r="O101" s="1550"/>
      <c r="P101" s="1550"/>
      <c r="Q101" s="1550" t="s">
        <v>1130</v>
      </c>
      <c r="R101" s="1550"/>
    </row>
    <row r="102" spans="1:18" s="934" customFormat="1" ht="15.75" customHeight="1">
      <c r="A102" s="935" t="e">
        <f>#REF!</f>
        <v>#REF!</v>
      </c>
      <c r="B102" s="1548" t="e">
        <f>#REF!</f>
        <v>#REF!</v>
      </c>
      <c r="C102" s="1548"/>
      <c r="D102" s="1548"/>
      <c r="E102" s="1548"/>
      <c r="F102" s="1548"/>
      <c r="G102" s="1548"/>
      <c r="H102" s="1548"/>
      <c r="I102" s="1548"/>
      <c r="J102" s="1549" t="e">
        <f>#REF!</f>
        <v>#REF!</v>
      </c>
      <c r="K102" s="1550"/>
      <c r="L102" s="1550" t="e">
        <f>#REF!</f>
        <v>#REF!</v>
      </c>
      <c r="M102" s="1550"/>
      <c r="N102" s="1550"/>
      <c r="O102" s="1550"/>
      <c r="P102" s="1550"/>
      <c r="Q102" s="1550" t="s">
        <v>1130</v>
      </c>
      <c r="R102" s="1550"/>
    </row>
    <row r="103" spans="1:18" s="934" customFormat="1" ht="15.75" customHeight="1">
      <c r="A103" s="935" t="e">
        <f>#REF!</f>
        <v>#REF!</v>
      </c>
      <c r="B103" s="1548" t="e">
        <f>#REF!</f>
        <v>#REF!</v>
      </c>
      <c r="C103" s="1548"/>
      <c r="D103" s="1548"/>
      <c r="E103" s="1548"/>
      <c r="F103" s="1548"/>
      <c r="G103" s="1548"/>
      <c r="H103" s="1548"/>
      <c r="I103" s="1548"/>
      <c r="J103" s="1549" t="e">
        <f>#REF!</f>
        <v>#REF!</v>
      </c>
      <c r="K103" s="1550"/>
      <c r="L103" s="1550" t="e">
        <f>#REF!</f>
        <v>#REF!</v>
      </c>
      <c r="M103" s="1550"/>
      <c r="N103" s="1550"/>
      <c r="O103" s="1550"/>
      <c r="P103" s="1550"/>
      <c r="Q103" s="1550" t="s">
        <v>1130</v>
      </c>
      <c r="R103" s="1550"/>
    </row>
    <row r="104" spans="1:18" s="934" customFormat="1" ht="15.75" customHeight="1">
      <c r="A104" s="935" t="e">
        <f>#REF!</f>
        <v>#REF!</v>
      </c>
      <c r="B104" s="1548" t="e">
        <f>#REF!</f>
        <v>#REF!</v>
      </c>
      <c r="C104" s="1548"/>
      <c r="D104" s="1548"/>
      <c r="E104" s="1548"/>
      <c r="F104" s="1548"/>
      <c r="G104" s="1548"/>
      <c r="H104" s="1548"/>
      <c r="I104" s="1548"/>
      <c r="J104" s="1549" t="e">
        <f>#REF!</f>
        <v>#REF!</v>
      </c>
      <c r="K104" s="1550"/>
      <c r="L104" s="1550" t="e">
        <f>#REF!</f>
        <v>#REF!</v>
      </c>
      <c r="M104" s="1550"/>
      <c r="N104" s="1550"/>
      <c r="O104" s="1550"/>
      <c r="P104" s="1550"/>
      <c r="Q104" s="1550" t="s">
        <v>1130</v>
      </c>
      <c r="R104" s="1550"/>
    </row>
    <row r="105" spans="1:18" s="934" customFormat="1" ht="15.75" customHeight="1">
      <c r="A105" s="935" t="e">
        <f>#REF!</f>
        <v>#REF!</v>
      </c>
      <c r="B105" s="1548" t="e">
        <f>#REF!</f>
        <v>#REF!</v>
      </c>
      <c r="C105" s="1548"/>
      <c r="D105" s="1548"/>
      <c r="E105" s="1548"/>
      <c r="F105" s="1548"/>
      <c r="G105" s="1548"/>
      <c r="H105" s="1548"/>
      <c r="I105" s="1548"/>
      <c r="J105" s="1549" t="e">
        <f>#REF!</f>
        <v>#REF!</v>
      </c>
      <c r="K105" s="1550"/>
      <c r="L105" s="1550" t="e">
        <f>#REF!</f>
        <v>#REF!</v>
      </c>
      <c r="M105" s="1550"/>
      <c r="N105" s="1550"/>
      <c r="O105" s="1550"/>
      <c r="P105" s="1550"/>
      <c r="Q105" s="1550" t="s">
        <v>1130</v>
      </c>
      <c r="R105" s="1550"/>
    </row>
    <row r="106" spans="1:18" s="934" customFormat="1" ht="15.75" customHeight="1">
      <c r="A106" s="935" t="e">
        <f>#REF!</f>
        <v>#REF!</v>
      </c>
      <c r="B106" s="1548" t="e">
        <f>#REF!</f>
        <v>#REF!</v>
      </c>
      <c r="C106" s="1548"/>
      <c r="D106" s="1548"/>
      <c r="E106" s="1548"/>
      <c r="F106" s="1548"/>
      <c r="G106" s="1548"/>
      <c r="H106" s="1548"/>
      <c r="I106" s="1548"/>
      <c r="J106" s="1549" t="e">
        <f>#REF!</f>
        <v>#REF!</v>
      </c>
      <c r="K106" s="1550"/>
      <c r="L106" s="1550" t="e">
        <f>#REF!</f>
        <v>#REF!</v>
      </c>
      <c r="M106" s="1550"/>
      <c r="N106" s="1550"/>
      <c r="O106" s="1550"/>
      <c r="P106" s="1550"/>
      <c r="Q106" s="1550" t="s">
        <v>1130</v>
      </c>
      <c r="R106" s="1550"/>
    </row>
    <row r="107" spans="1:18" s="934" customFormat="1" ht="15.75" customHeight="1">
      <c r="A107" s="935" t="e">
        <f>#REF!</f>
        <v>#REF!</v>
      </c>
      <c r="B107" s="1548" t="e">
        <f>#REF!</f>
        <v>#REF!</v>
      </c>
      <c r="C107" s="1548"/>
      <c r="D107" s="1548"/>
      <c r="E107" s="1548"/>
      <c r="F107" s="1548"/>
      <c r="G107" s="1548"/>
      <c r="H107" s="1548"/>
      <c r="I107" s="1548"/>
      <c r="J107" s="1549" t="e">
        <f>#REF!</f>
        <v>#REF!</v>
      </c>
      <c r="K107" s="1550"/>
      <c r="L107" s="1550" t="e">
        <f>#REF!</f>
        <v>#REF!</v>
      </c>
      <c r="M107" s="1550"/>
      <c r="N107" s="1550"/>
      <c r="O107" s="1550"/>
      <c r="P107" s="1550"/>
      <c r="Q107" s="1550" t="s">
        <v>1130</v>
      </c>
      <c r="R107" s="1550"/>
    </row>
    <row r="108" spans="1:18" s="934" customFormat="1" ht="15.75" customHeight="1">
      <c r="A108" s="935" t="e">
        <f>#REF!</f>
        <v>#REF!</v>
      </c>
      <c r="B108" s="1548" t="e">
        <f>#REF!</f>
        <v>#REF!</v>
      </c>
      <c r="C108" s="1548"/>
      <c r="D108" s="1548"/>
      <c r="E108" s="1548"/>
      <c r="F108" s="1548"/>
      <c r="G108" s="1548"/>
      <c r="H108" s="1548"/>
      <c r="I108" s="1548"/>
      <c r="J108" s="1549" t="e">
        <f>#REF!</f>
        <v>#REF!</v>
      </c>
      <c r="K108" s="1550"/>
      <c r="L108" s="1550" t="e">
        <f>#REF!</f>
        <v>#REF!</v>
      </c>
      <c r="M108" s="1550"/>
      <c r="N108" s="1550"/>
      <c r="O108" s="1550"/>
      <c r="P108" s="1550"/>
      <c r="Q108" s="1550" t="s">
        <v>1130</v>
      </c>
      <c r="R108" s="1550"/>
    </row>
    <row r="109" spans="1:18" s="934" customFormat="1" ht="15.75" customHeight="1">
      <c r="A109" s="935" t="e">
        <f>#REF!</f>
        <v>#REF!</v>
      </c>
      <c r="B109" s="1548" t="e">
        <f>#REF!</f>
        <v>#REF!</v>
      </c>
      <c r="C109" s="1548"/>
      <c r="D109" s="1548"/>
      <c r="E109" s="1548"/>
      <c r="F109" s="1548"/>
      <c r="G109" s="1548"/>
      <c r="H109" s="1548"/>
      <c r="I109" s="1548"/>
      <c r="J109" s="1549" t="e">
        <f>#REF!</f>
        <v>#REF!</v>
      </c>
      <c r="K109" s="1550"/>
      <c r="L109" s="1550" t="e">
        <f>#REF!</f>
        <v>#REF!</v>
      </c>
      <c r="M109" s="1550"/>
      <c r="N109" s="1550"/>
      <c r="O109" s="1550"/>
      <c r="P109" s="1550"/>
      <c r="Q109" s="1550" t="s">
        <v>1130</v>
      </c>
      <c r="R109" s="1550"/>
    </row>
    <row r="110" spans="1:18" s="934" customFormat="1" ht="15.75" customHeight="1">
      <c r="A110" s="935" t="e">
        <f>#REF!</f>
        <v>#REF!</v>
      </c>
      <c r="B110" s="1548" t="e">
        <f>#REF!</f>
        <v>#REF!</v>
      </c>
      <c r="C110" s="1548"/>
      <c r="D110" s="1548"/>
      <c r="E110" s="1548"/>
      <c r="F110" s="1548"/>
      <c r="G110" s="1548"/>
      <c r="H110" s="1548"/>
      <c r="I110" s="1548"/>
      <c r="J110" s="1549" t="e">
        <f>#REF!</f>
        <v>#REF!</v>
      </c>
      <c r="K110" s="1550"/>
      <c r="L110" s="1550" t="e">
        <f>#REF!</f>
        <v>#REF!</v>
      </c>
      <c r="M110" s="1550"/>
      <c r="N110" s="1550"/>
      <c r="O110" s="1550"/>
      <c r="P110" s="1550"/>
      <c r="Q110" s="1550" t="s">
        <v>1130</v>
      </c>
      <c r="R110" s="1550"/>
    </row>
    <row r="111" spans="1:18" s="934" customFormat="1" ht="15.75" customHeight="1">
      <c r="A111" s="935" t="e">
        <f>#REF!</f>
        <v>#REF!</v>
      </c>
      <c r="B111" s="1548" t="e">
        <f>#REF!</f>
        <v>#REF!</v>
      </c>
      <c r="C111" s="1548"/>
      <c r="D111" s="1548"/>
      <c r="E111" s="1548"/>
      <c r="F111" s="1548"/>
      <c r="G111" s="1548"/>
      <c r="H111" s="1548"/>
      <c r="I111" s="1548"/>
      <c r="J111" s="1549" t="e">
        <f>#REF!</f>
        <v>#REF!</v>
      </c>
      <c r="K111" s="1550"/>
      <c r="L111" s="1550" t="e">
        <f>#REF!</f>
        <v>#REF!</v>
      </c>
      <c r="M111" s="1550"/>
      <c r="N111" s="1550"/>
      <c r="O111" s="1550"/>
      <c r="P111" s="1550"/>
      <c r="Q111" s="1550" t="s">
        <v>1130</v>
      </c>
      <c r="R111" s="1550"/>
    </row>
    <row r="112" spans="1:18" s="934" customFormat="1" ht="15.75" customHeight="1">
      <c r="A112" s="935" t="e">
        <f>#REF!</f>
        <v>#REF!</v>
      </c>
      <c r="B112" s="1548" t="e">
        <f>#REF!</f>
        <v>#REF!</v>
      </c>
      <c r="C112" s="1548"/>
      <c r="D112" s="1548"/>
      <c r="E112" s="1548"/>
      <c r="F112" s="1548"/>
      <c r="G112" s="1548"/>
      <c r="H112" s="1548"/>
      <c r="I112" s="1548"/>
      <c r="J112" s="1549" t="e">
        <f>#REF!</f>
        <v>#REF!</v>
      </c>
      <c r="K112" s="1550"/>
      <c r="L112" s="1550" t="e">
        <f>#REF!</f>
        <v>#REF!</v>
      </c>
      <c r="M112" s="1550"/>
      <c r="N112" s="1550"/>
      <c r="O112" s="1550"/>
      <c r="P112" s="1550"/>
      <c r="Q112" s="1550" t="s">
        <v>1130</v>
      </c>
      <c r="R112" s="1550"/>
    </row>
    <row r="113" spans="1:18" s="934" customFormat="1" ht="15.75" customHeight="1">
      <c r="A113" s="935" t="e">
        <f>#REF!</f>
        <v>#REF!</v>
      </c>
      <c r="B113" s="1548" t="e">
        <f>#REF!</f>
        <v>#REF!</v>
      </c>
      <c r="C113" s="1548"/>
      <c r="D113" s="1548"/>
      <c r="E113" s="1548"/>
      <c r="F113" s="1548"/>
      <c r="G113" s="1548"/>
      <c r="H113" s="1548"/>
      <c r="I113" s="1548"/>
      <c r="J113" s="1549" t="e">
        <f>#REF!</f>
        <v>#REF!</v>
      </c>
      <c r="K113" s="1550"/>
      <c r="L113" s="1550" t="e">
        <f>#REF!</f>
        <v>#REF!</v>
      </c>
      <c r="M113" s="1550"/>
      <c r="N113" s="1550"/>
      <c r="O113" s="1550"/>
      <c r="P113" s="1550"/>
      <c r="Q113" s="1550" t="s">
        <v>1130</v>
      </c>
      <c r="R113" s="1550"/>
    </row>
    <row r="114" spans="1:18" s="934" customFormat="1" ht="15.75" customHeight="1">
      <c r="A114" s="935" t="e">
        <f>#REF!</f>
        <v>#REF!</v>
      </c>
      <c r="B114" s="1548" t="e">
        <f>#REF!</f>
        <v>#REF!</v>
      </c>
      <c r="C114" s="1548"/>
      <c r="D114" s="1548"/>
      <c r="E114" s="1548"/>
      <c r="F114" s="1548"/>
      <c r="G114" s="1548"/>
      <c r="H114" s="1548"/>
      <c r="I114" s="1548"/>
      <c r="J114" s="1549" t="e">
        <f>#REF!</f>
        <v>#REF!</v>
      </c>
      <c r="K114" s="1550"/>
      <c r="L114" s="1550" t="e">
        <f>#REF!</f>
        <v>#REF!</v>
      </c>
      <c r="M114" s="1550"/>
      <c r="N114" s="1550"/>
      <c r="O114" s="1550"/>
      <c r="P114" s="1550"/>
      <c r="Q114" s="1550" t="s">
        <v>1130</v>
      </c>
      <c r="R114" s="1550"/>
    </row>
    <row r="115" spans="1:18" s="934" customFormat="1" ht="15.75" customHeight="1">
      <c r="A115" s="935" t="e">
        <f>#REF!</f>
        <v>#REF!</v>
      </c>
      <c r="B115" s="1548" t="e">
        <f>#REF!</f>
        <v>#REF!</v>
      </c>
      <c r="C115" s="1548"/>
      <c r="D115" s="1548"/>
      <c r="E115" s="1548"/>
      <c r="F115" s="1548"/>
      <c r="G115" s="1548"/>
      <c r="H115" s="1548"/>
      <c r="I115" s="1548"/>
      <c r="J115" s="1549" t="e">
        <f>#REF!</f>
        <v>#REF!</v>
      </c>
      <c r="K115" s="1550"/>
      <c r="L115" s="1550" t="e">
        <f>#REF!</f>
        <v>#REF!</v>
      </c>
      <c r="M115" s="1550"/>
      <c r="N115" s="1550"/>
      <c r="O115" s="1550"/>
      <c r="P115" s="1550"/>
      <c r="Q115" s="1550" t="s">
        <v>1130</v>
      </c>
      <c r="R115" s="1550"/>
    </row>
    <row r="116" spans="1:18" s="934" customFormat="1" ht="16.5" customHeight="1">
      <c r="A116" s="935" t="e">
        <f>#REF!</f>
        <v>#REF!</v>
      </c>
      <c r="B116" s="1548" t="e">
        <f>#REF!</f>
        <v>#REF!</v>
      </c>
      <c r="C116" s="1548"/>
      <c r="D116" s="1548"/>
      <c r="E116" s="1548"/>
      <c r="F116" s="1548"/>
      <c r="G116" s="1548"/>
      <c r="H116" s="1548"/>
      <c r="I116" s="1548"/>
      <c r="J116" s="1549" t="e">
        <f>#REF!</f>
        <v>#REF!</v>
      </c>
      <c r="K116" s="1550"/>
      <c r="L116" s="1550" t="e">
        <f>#REF!</f>
        <v>#REF!</v>
      </c>
      <c r="M116" s="1550"/>
      <c r="N116" s="1550"/>
      <c r="O116" s="1550"/>
      <c r="P116" s="1550"/>
      <c r="Q116" s="1550" t="s">
        <v>1130</v>
      </c>
      <c r="R116" s="1550"/>
    </row>
    <row r="117" spans="1:18" s="934" customFormat="1" ht="14.25">
      <c r="A117" s="935" t="e">
        <f>#REF!</f>
        <v>#REF!</v>
      </c>
      <c r="B117" s="1548" t="e">
        <f>#REF!</f>
        <v>#REF!</v>
      </c>
      <c r="C117" s="1548"/>
      <c r="D117" s="1548"/>
      <c r="E117" s="1548"/>
      <c r="F117" s="1548"/>
      <c r="G117" s="1548"/>
      <c r="H117" s="1548"/>
      <c r="I117" s="1548"/>
      <c r="J117" s="1549" t="e">
        <f>#REF!</f>
        <v>#REF!</v>
      </c>
      <c r="K117" s="1550"/>
      <c r="L117" s="1550" t="e">
        <f>#REF!</f>
        <v>#REF!</v>
      </c>
      <c r="M117" s="1550"/>
      <c r="N117" s="1550"/>
      <c r="O117" s="1550"/>
      <c r="P117" s="1550"/>
      <c r="Q117" s="1550" t="s">
        <v>1130</v>
      </c>
      <c r="R117" s="1550"/>
    </row>
    <row r="118" spans="1:18" s="934" customFormat="1" ht="14.25">
      <c r="A118" s="935" t="e">
        <f>IF(ISBLANK(#REF!)," ",#REF!)</f>
        <v>#REF!</v>
      </c>
      <c r="B118" s="1548" t="e">
        <f>#REF!</f>
        <v>#REF!</v>
      </c>
      <c r="C118" s="1548"/>
      <c r="D118" s="1548"/>
      <c r="E118" s="1548"/>
      <c r="F118" s="1548"/>
      <c r="G118" s="1548"/>
      <c r="H118" s="1548"/>
      <c r="I118" s="1548"/>
      <c r="J118" s="1549" t="e">
        <f>IF(ISBLANK(#REF!)," ",#REF!)</f>
        <v>#REF!</v>
      </c>
      <c r="K118" s="1550"/>
      <c r="L118" s="1550" t="e">
        <f>#REF!</f>
        <v>#REF!</v>
      </c>
      <c r="M118" s="1550"/>
      <c r="N118" s="1550"/>
      <c r="O118" s="1550"/>
      <c r="P118" s="1550"/>
      <c r="Q118" s="1550" t="s">
        <v>1130</v>
      </c>
      <c r="R118" s="1550"/>
    </row>
    <row r="119" spans="1:18" s="934" customFormat="1" ht="14.25">
      <c r="A119" s="935" t="e">
        <f>IF(ISBLANK(#REF!)," ",#REF!)</f>
        <v>#REF!</v>
      </c>
      <c r="B119" s="1548" t="e">
        <f>#REF!</f>
        <v>#REF!</v>
      </c>
      <c r="C119" s="1548"/>
      <c r="D119" s="1548"/>
      <c r="E119" s="1548"/>
      <c r="F119" s="1548"/>
      <c r="G119" s="1548"/>
      <c r="H119" s="1548"/>
      <c r="I119" s="1548"/>
      <c r="J119" s="1549" t="e">
        <f>#REF!</f>
        <v>#REF!</v>
      </c>
      <c r="K119" s="1550"/>
      <c r="L119" s="1550" t="e">
        <f>#REF!</f>
        <v>#REF!</v>
      </c>
      <c r="M119" s="1550"/>
      <c r="N119" s="1550"/>
      <c r="O119" s="1550"/>
      <c r="P119" s="1550"/>
      <c r="Q119" s="1550" t="s">
        <v>1130</v>
      </c>
      <c r="R119" s="1550"/>
    </row>
    <row r="120" spans="1:18" s="553" customFormat="1" ht="14.25">
      <c r="A120" s="903"/>
      <c r="Q120" s="934"/>
      <c r="R120" s="934"/>
    </row>
    <row r="121" spans="1:18" s="553" customFormat="1" ht="38.25" customHeight="1">
      <c r="A121" s="1546" t="e">
        <f>#REF!</f>
        <v>#REF!</v>
      </c>
      <c r="B121" s="1546"/>
      <c r="C121" s="1546"/>
      <c r="D121" s="1546"/>
      <c r="E121" s="1546"/>
      <c r="F121" s="1546"/>
      <c r="G121" s="1546"/>
      <c r="H121" s="561"/>
      <c r="I121" s="1547" t="e">
        <f>#REF!</f>
        <v>#REF!</v>
      </c>
      <c r="J121" s="1547"/>
      <c r="K121" s="1547"/>
      <c r="L121" s="1547"/>
      <c r="M121" s="936"/>
      <c r="N121" s="83"/>
      <c r="O121" s="83"/>
      <c r="P121" s="83"/>
      <c r="Q121" s="83"/>
      <c r="R121" s="83"/>
    </row>
    <row r="122" spans="1:18" s="553" customFormat="1" ht="14.25">
      <c r="A122" s="937"/>
      <c r="B122" s="937"/>
      <c r="C122" s="937"/>
      <c r="D122" s="937"/>
      <c r="E122" s="561"/>
      <c r="F122" s="561"/>
      <c r="G122" s="561"/>
      <c r="H122" s="561"/>
      <c r="I122" s="1545" t="s">
        <v>533</v>
      </c>
      <c r="J122" s="1545"/>
      <c r="K122" s="1545"/>
      <c r="L122" s="1545"/>
      <c r="M122" s="604"/>
      <c r="N122" s="1545" t="s">
        <v>531</v>
      </c>
      <c r="O122" s="1545"/>
      <c r="P122" s="1545"/>
      <c r="Q122" s="1545"/>
      <c r="R122" s="1545"/>
    </row>
    <row r="123" spans="1:18" s="553" customFormat="1" ht="14.25">
      <c r="A123" s="937"/>
      <c r="B123" s="937"/>
      <c r="C123" s="937"/>
      <c r="D123" s="937"/>
      <c r="E123" s="561"/>
      <c r="F123" s="561"/>
      <c r="G123" s="561"/>
      <c r="H123" s="561"/>
      <c r="I123" s="903"/>
      <c r="L123" s="903"/>
      <c r="M123" s="925"/>
      <c r="N123" s="903"/>
      <c r="O123" s="903"/>
      <c r="P123" s="903"/>
      <c r="Q123" s="903"/>
      <c r="R123" s="903"/>
    </row>
    <row r="124" spans="1:18" s="553" customFormat="1" ht="43.5" customHeight="1">
      <c r="A124" s="1546" t="e">
        <f>#REF!</f>
        <v>#REF!</v>
      </c>
      <c r="B124" s="1546"/>
      <c r="C124" s="1546"/>
      <c r="D124" s="1546"/>
      <c r="E124" s="1546"/>
      <c r="F124" s="1546"/>
      <c r="G124" s="1546"/>
      <c r="H124" s="561"/>
      <c r="I124" s="1547" t="e">
        <f>#REF!</f>
        <v>#REF!</v>
      </c>
      <c r="J124" s="1547"/>
      <c r="K124" s="1547"/>
      <c r="L124" s="1547"/>
      <c r="M124" s="936"/>
      <c r="N124" s="83"/>
      <c r="O124" s="83"/>
      <c r="P124" s="83"/>
      <c r="Q124" s="83"/>
      <c r="R124" s="83"/>
    </row>
    <row r="125" spans="1:18" s="553" customFormat="1" ht="14.25">
      <c r="A125" s="561"/>
      <c r="B125" s="561"/>
      <c r="C125" s="561"/>
      <c r="D125" s="561"/>
      <c r="E125" s="561"/>
      <c r="F125" s="561"/>
      <c r="G125" s="561"/>
      <c r="H125" s="561"/>
      <c r="I125" s="1545" t="s">
        <v>533</v>
      </c>
      <c r="J125" s="1545"/>
      <c r="K125" s="1545"/>
      <c r="L125" s="1545"/>
      <c r="M125" s="604"/>
      <c r="N125" s="1545" t="s">
        <v>531</v>
      </c>
      <c r="O125" s="1545"/>
      <c r="P125" s="1545"/>
      <c r="Q125" s="1545"/>
      <c r="R125" s="1545"/>
    </row>
    <row r="126" spans="1:18" s="553" customFormat="1" ht="27.75" customHeight="1">
      <c r="B126" s="83"/>
      <c r="C126" s="83"/>
      <c r="D126" s="83"/>
      <c r="E126" s="83"/>
      <c r="F126" s="83"/>
      <c r="G126" s="83"/>
      <c r="H126" s="83"/>
      <c r="I126" s="83"/>
      <c r="J126" s="83"/>
      <c r="K126" s="83"/>
      <c r="L126" s="83"/>
      <c r="M126" s="83"/>
      <c r="N126" s="83"/>
      <c r="O126" s="83"/>
    </row>
    <row r="127" spans="1:18" s="553" customFormat="1" ht="14.25">
      <c r="A127" s="1546" t="s">
        <v>1131</v>
      </c>
      <c r="B127" s="1546"/>
      <c r="C127" s="1546"/>
      <c r="D127" s="1546"/>
      <c r="E127" s="1546"/>
      <c r="F127" s="1546"/>
      <c r="G127" s="1546"/>
      <c r="I127" s="1547" t="s">
        <v>1132</v>
      </c>
      <c r="J127" s="1547"/>
      <c r="K127" s="1547"/>
      <c r="L127" s="1547"/>
      <c r="M127" s="936"/>
      <c r="N127" s="83"/>
      <c r="O127" s="83"/>
      <c r="P127" s="83"/>
      <c r="Q127" s="83"/>
      <c r="R127" s="83"/>
    </row>
    <row r="128" spans="1:18" s="553" customFormat="1" ht="14.25">
      <c r="I128" s="1545" t="s">
        <v>533</v>
      </c>
      <c r="J128" s="1545"/>
      <c r="K128" s="1545"/>
      <c r="L128" s="1545"/>
      <c r="M128" s="604"/>
      <c r="N128" s="1545" t="s">
        <v>531</v>
      </c>
      <c r="O128" s="1545"/>
      <c r="P128" s="1545"/>
      <c r="Q128" s="1545"/>
      <c r="R128" s="1545"/>
    </row>
    <row r="129" spans="1:1" s="553" customFormat="1" ht="14.25"/>
    <row r="130" spans="1:1" s="553" customFormat="1" ht="14.25"/>
    <row r="131" spans="1:1" s="553" customFormat="1" ht="14.25"/>
    <row r="132" spans="1:1" s="553" customFormat="1" ht="14.25"/>
    <row r="133" spans="1:1" s="553" customFormat="1" ht="14.25"/>
    <row r="134" spans="1:1" s="553" customFormat="1" ht="14.25"/>
    <row r="135" spans="1:1" s="553" customFormat="1" ht="14.25"/>
    <row r="136" spans="1:1" s="553" customFormat="1" ht="14.25">
      <c r="A136" s="83"/>
    </row>
    <row r="137" spans="1:1" s="553" customFormat="1" ht="14.25"/>
    <row r="138" spans="1:1" s="553" customFormat="1" ht="14.25"/>
    <row r="139" spans="1:1" s="553" customFormat="1" ht="14.25"/>
    <row r="140" spans="1:1" s="553" customFormat="1" ht="14.25"/>
    <row r="141" spans="1:1" s="553" customFormat="1" ht="14.25"/>
    <row r="142" spans="1:1" s="553" customFormat="1" ht="14.25"/>
    <row r="143" spans="1:1" s="553" customFormat="1" ht="14.25"/>
    <row r="144" spans="1:1" s="553" customFormat="1" ht="14.25"/>
    <row r="145" spans="17:18" s="553" customFormat="1" ht="14.25"/>
    <row r="146" spans="17:18" s="553" customFormat="1" ht="14.25"/>
    <row r="147" spans="17:18" s="553" customFormat="1" ht="14.25"/>
    <row r="148" spans="17:18" s="553" customFormat="1" ht="14.25"/>
    <row r="149" spans="17:18" s="553" customFormat="1" ht="14.25"/>
    <row r="150" spans="17:18" s="553" customFormat="1" ht="14.25"/>
    <row r="151" spans="17:18" s="553" customFormat="1" ht="14.25"/>
    <row r="152" spans="17:18" s="553" customFormat="1" ht="14.25"/>
    <row r="153" spans="17:18" s="553" customFormat="1" ht="14.25"/>
    <row r="154" spans="17:18" s="553" customFormat="1" ht="14.25"/>
    <row r="155" spans="17:18" ht="14.25">
      <c r="Q155" s="553"/>
      <c r="R155" s="553"/>
    </row>
    <row r="156" spans="17:18" ht="14.25">
      <c r="Q156" s="553"/>
      <c r="R156" s="553"/>
    </row>
    <row r="157" spans="17:18" ht="14.25">
      <c r="Q157" s="553"/>
      <c r="R157" s="553"/>
    </row>
    <row r="158" spans="17:18" ht="14.25">
      <c r="Q158" s="553"/>
      <c r="R158" s="553"/>
    </row>
  </sheetData>
  <mergeCells count="214">
    <mergeCell ref="I43:J43"/>
    <mergeCell ref="K43:L43"/>
    <mergeCell ref="M43:N43"/>
    <mergeCell ref="O43:P43"/>
    <mergeCell ref="M46:N46"/>
    <mergeCell ref="A49:R49"/>
    <mergeCell ref="A8:R8"/>
    <mergeCell ref="A10:R10"/>
    <mergeCell ref="A11:Q11"/>
    <mergeCell ref="A12:R12"/>
    <mergeCell ref="B13:E13"/>
    <mergeCell ref="F13:P13"/>
    <mergeCell ref="A15:Q15"/>
    <mergeCell ref="A17:Q17"/>
    <mergeCell ref="A41:C42"/>
    <mergeCell ref="D41:D42"/>
    <mergeCell ref="E41:R41"/>
    <mergeCell ref="E42:F42"/>
    <mergeCell ref="G42:H42"/>
    <mergeCell ref="I42:J42"/>
    <mergeCell ref="K42:L42"/>
    <mergeCell ref="M42:N42"/>
    <mergeCell ref="O42:P42"/>
    <mergeCell ref="Q42:R42"/>
    <mergeCell ref="B50:O50"/>
    <mergeCell ref="A53:A54"/>
    <mergeCell ref="B53:I54"/>
    <mergeCell ref="J53:R54"/>
    <mergeCell ref="O44:P44"/>
    <mergeCell ref="Q43:R43"/>
    <mergeCell ref="A45:C45"/>
    <mergeCell ref="E45:F45"/>
    <mergeCell ref="G45:H45"/>
    <mergeCell ref="I45:J45"/>
    <mergeCell ref="K45:L45"/>
    <mergeCell ref="M45:N45"/>
    <mergeCell ref="O45:P45"/>
    <mergeCell ref="Q45:R45"/>
    <mergeCell ref="A44:C44"/>
    <mergeCell ref="E44:F44"/>
    <mergeCell ref="G44:H44"/>
    <mergeCell ref="I44:J44"/>
    <mergeCell ref="K44:L44"/>
    <mergeCell ref="M44:N44"/>
    <mergeCell ref="Q44:R44"/>
    <mergeCell ref="A43:C43"/>
    <mergeCell ref="E43:F43"/>
    <mergeCell ref="G43:H43"/>
    <mergeCell ref="B83:I83"/>
    <mergeCell ref="J83:K83"/>
    <mergeCell ref="L83:P83"/>
    <mergeCell ref="Q83:R83"/>
    <mergeCell ref="J55:R74"/>
    <mergeCell ref="A79:R79"/>
    <mergeCell ref="B82:I82"/>
    <mergeCell ref="J82:K82"/>
    <mergeCell ref="L82:P82"/>
    <mergeCell ref="Q82:R82"/>
    <mergeCell ref="B86:I86"/>
    <mergeCell ref="J86:K86"/>
    <mergeCell ref="L86:P86"/>
    <mergeCell ref="Q86:R86"/>
    <mergeCell ref="B87:I87"/>
    <mergeCell ref="J87:K87"/>
    <mergeCell ref="L87:P87"/>
    <mergeCell ref="Q87:R87"/>
    <mergeCell ref="B84:I84"/>
    <mergeCell ref="J84:K84"/>
    <mergeCell ref="L84:P84"/>
    <mergeCell ref="Q84:R84"/>
    <mergeCell ref="B85:I85"/>
    <mergeCell ref="J85:K85"/>
    <mergeCell ref="L85:P85"/>
    <mergeCell ref="Q85:R85"/>
    <mergeCell ref="B90:I90"/>
    <mergeCell ref="J90:K90"/>
    <mergeCell ref="L90:P90"/>
    <mergeCell ref="Q90:R90"/>
    <mergeCell ref="B91:I91"/>
    <mergeCell ref="J91:K91"/>
    <mergeCell ref="L91:P91"/>
    <mergeCell ref="Q91:R91"/>
    <mergeCell ref="B88:I88"/>
    <mergeCell ref="J88:K88"/>
    <mergeCell ref="L88:P88"/>
    <mergeCell ref="Q88:R88"/>
    <mergeCell ref="B89:I89"/>
    <mergeCell ref="J89:K89"/>
    <mergeCell ref="L89:P89"/>
    <mergeCell ref="Q89:R89"/>
    <mergeCell ref="B94:I94"/>
    <mergeCell ref="J94:K94"/>
    <mergeCell ref="L94:P94"/>
    <mergeCell ref="Q94:R94"/>
    <mergeCell ref="B95:I95"/>
    <mergeCell ref="J95:K95"/>
    <mergeCell ref="L95:P95"/>
    <mergeCell ref="Q95:R95"/>
    <mergeCell ref="B92:I92"/>
    <mergeCell ref="J92:K92"/>
    <mergeCell ref="L92:P92"/>
    <mergeCell ref="Q92:R92"/>
    <mergeCell ref="B93:I93"/>
    <mergeCell ref="J93:K93"/>
    <mergeCell ref="L93:P93"/>
    <mergeCell ref="Q93:R93"/>
    <mergeCell ref="B98:I98"/>
    <mergeCell ref="J98:K98"/>
    <mergeCell ref="L98:P98"/>
    <mergeCell ref="Q98:R98"/>
    <mergeCell ref="B99:I99"/>
    <mergeCell ref="J99:K99"/>
    <mergeCell ref="L99:P99"/>
    <mergeCell ref="Q99:R99"/>
    <mergeCell ref="B96:I96"/>
    <mergeCell ref="J96:K96"/>
    <mergeCell ref="L96:P96"/>
    <mergeCell ref="Q96:R96"/>
    <mergeCell ref="B97:I97"/>
    <mergeCell ref="J97:K97"/>
    <mergeCell ref="L97:P97"/>
    <mergeCell ref="Q97:R97"/>
    <mergeCell ref="B102:I102"/>
    <mergeCell ref="J102:K102"/>
    <mergeCell ref="L102:P102"/>
    <mergeCell ref="Q102:R102"/>
    <mergeCell ref="B103:I103"/>
    <mergeCell ref="J103:K103"/>
    <mergeCell ref="L103:P103"/>
    <mergeCell ref="Q103:R103"/>
    <mergeCell ref="B100:I100"/>
    <mergeCell ref="J100:K100"/>
    <mergeCell ref="L100:P100"/>
    <mergeCell ref="Q100:R100"/>
    <mergeCell ref="B101:I101"/>
    <mergeCell ref="J101:K101"/>
    <mergeCell ref="L101:P101"/>
    <mergeCell ref="Q101:R101"/>
    <mergeCell ref="B106:I106"/>
    <mergeCell ref="J106:K106"/>
    <mergeCell ref="L106:P106"/>
    <mergeCell ref="Q106:R106"/>
    <mergeCell ref="B107:I107"/>
    <mergeCell ref="J107:K107"/>
    <mergeCell ref="L107:P107"/>
    <mergeCell ref="Q107:R107"/>
    <mergeCell ref="B104:I104"/>
    <mergeCell ref="J104:K104"/>
    <mergeCell ref="L104:P104"/>
    <mergeCell ref="Q104:R104"/>
    <mergeCell ref="B105:I105"/>
    <mergeCell ref="J105:K105"/>
    <mergeCell ref="L105:P105"/>
    <mergeCell ref="Q105:R105"/>
    <mergeCell ref="B110:I110"/>
    <mergeCell ref="J110:K110"/>
    <mergeCell ref="L110:P110"/>
    <mergeCell ref="Q110:R110"/>
    <mergeCell ref="B111:I111"/>
    <mergeCell ref="J111:K111"/>
    <mergeCell ref="L111:P111"/>
    <mergeCell ref="Q111:R111"/>
    <mergeCell ref="B108:I108"/>
    <mergeCell ref="J108:K108"/>
    <mergeCell ref="L108:P108"/>
    <mergeCell ref="Q108:R108"/>
    <mergeCell ref="B109:I109"/>
    <mergeCell ref="J109:K109"/>
    <mergeCell ref="L109:P109"/>
    <mergeCell ref="Q109:R109"/>
    <mergeCell ref="B114:I114"/>
    <mergeCell ref="J114:K114"/>
    <mergeCell ref="L114:P114"/>
    <mergeCell ref="Q114:R114"/>
    <mergeCell ref="B115:I115"/>
    <mergeCell ref="J115:K115"/>
    <mergeCell ref="L115:P115"/>
    <mergeCell ref="Q115:R115"/>
    <mergeCell ref="B112:I112"/>
    <mergeCell ref="J112:K112"/>
    <mergeCell ref="L112:P112"/>
    <mergeCell ref="Q112:R112"/>
    <mergeCell ref="B113:I113"/>
    <mergeCell ref="J113:K113"/>
    <mergeCell ref="L113:P113"/>
    <mergeCell ref="Q113:R113"/>
    <mergeCell ref="B118:I118"/>
    <mergeCell ref="J118:K118"/>
    <mergeCell ref="L118:P118"/>
    <mergeCell ref="Q118:R118"/>
    <mergeCell ref="B119:I119"/>
    <mergeCell ref="J119:K119"/>
    <mergeCell ref="L119:P119"/>
    <mergeCell ref="Q119:R119"/>
    <mergeCell ref="B116:I116"/>
    <mergeCell ref="J116:K116"/>
    <mergeCell ref="L116:P116"/>
    <mergeCell ref="Q116:R116"/>
    <mergeCell ref="B117:I117"/>
    <mergeCell ref="J117:K117"/>
    <mergeCell ref="L117:P117"/>
    <mergeCell ref="Q117:R117"/>
    <mergeCell ref="I125:L125"/>
    <mergeCell ref="N125:R125"/>
    <mergeCell ref="A127:G127"/>
    <mergeCell ref="I127:L127"/>
    <mergeCell ref="I128:L128"/>
    <mergeCell ref="N128:R128"/>
    <mergeCell ref="A121:G121"/>
    <mergeCell ref="I121:L121"/>
    <mergeCell ref="I122:L122"/>
    <mergeCell ref="N122:R122"/>
    <mergeCell ref="A124:G124"/>
    <mergeCell ref="I124:L124"/>
  </mergeCells>
  <pageMargins left="0.59055118110236227" right="0.31496062992125984" top="0.31496062992125984" bottom="0.51181102362204722" header="0" footer="0.19685039370078741"/>
  <pageSetup paperSize="9" orientation="portrait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Лист9">
    <tabColor rgb="FFC00000"/>
  </sheetPr>
  <dimension ref="A1:AA350"/>
  <sheetViews>
    <sheetView topLeftCell="A65" workbookViewId="0">
      <selection activeCell="A71" sqref="A71"/>
    </sheetView>
  </sheetViews>
  <sheetFormatPr defaultColWidth="9.14453125" defaultRowHeight="13.5"/>
  <cols>
    <col min="1" max="1" width="4.03515625" style="555" customWidth="1"/>
    <col min="2" max="14" width="6.05078125" style="555" customWidth="1"/>
    <col min="15" max="15" width="8.609375" style="555" customWidth="1"/>
    <col min="16" max="26" width="1.61328125" style="555" customWidth="1"/>
    <col min="27" max="16384" width="9.14453125" style="555"/>
  </cols>
  <sheetData>
    <row r="1" spans="1:15" s="134" customFormat="1">
      <c r="A1" s="1504" t="e">
        <f>#REF!</f>
        <v>#REF!</v>
      </c>
      <c r="B1" s="1504"/>
      <c r="C1" s="1504"/>
      <c r="D1" s="1504"/>
      <c r="E1" s="1504"/>
      <c r="F1" s="1504"/>
      <c r="G1" s="1504"/>
      <c r="H1" s="1504"/>
      <c r="I1" s="1504"/>
      <c r="J1" s="1504"/>
      <c r="K1" s="1504"/>
      <c r="L1" s="1504"/>
      <c r="M1" s="1504"/>
      <c r="N1" s="1504"/>
      <c r="O1" s="1504"/>
    </row>
    <row r="2" spans="1:15" s="134" customFormat="1">
      <c r="A2" s="1504" t="e">
        <f>#REF!</f>
        <v>#REF!</v>
      </c>
      <c r="B2" s="1504"/>
      <c r="C2" s="1504"/>
      <c r="D2" s="1504"/>
      <c r="E2" s="1504"/>
      <c r="F2" s="1504"/>
      <c r="G2" s="1504"/>
      <c r="H2" s="1504"/>
      <c r="I2" s="1504"/>
      <c r="J2" s="1504"/>
      <c r="K2" s="1504"/>
      <c r="L2" s="1504"/>
      <c r="M2" s="1504"/>
      <c r="N2" s="1504"/>
      <c r="O2" s="1504"/>
    </row>
    <row r="3" spans="1:15" s="134" customFormat="1">
      <c r="A3" s="1504" t="e">
        <f>#REF!</f>
        <v>#REF!</v>
      </c>
      <c r="B3" s="1504"/>
      <c r="C3" s="1504"/>
      <c r="D3" s="1504"/>
      <c r="E3" s="1504"/>
      <c r="F3" s="1504"/>
      <c r="G3" s="1504"/>
      <c r="H3" s="1504"/>
      <c r="I3" s="1504"/>
      <c r="J3" s="1504"/>
      <c r="K3" s="1504"/>
      <c r="L3" s="1504"/>
      <c r="M3" s="1504"/>
      <c r="N3" s="1504"/>
      <c r="O3" s="1504"/>
    </row>
    <row r="4" spans="1:15" s="134" customFormat="1" ht="12.75" customHeight="1">
      <c r="A4" s="533"/>
      <c r="B4" s="530"/>
      <c r="C4" s="530"/>
      <c r="D4" s="531"/>
      <c r="E4" s="549"/>
      <c r="F4" s="530"/>
      <c r="G4" s="530"/>
      <c r="H4" s="528"/>
      <c r="I4" s="528"/>
      <c r="J4" s="531"/>
      <c r="K4" s="558"/>
    </row>
    <row r="5" spans="1:15" s="134" customFormat="1" ht="12.75" customHeight="1">
      <c r="A5" s="533"/>
      <c r="B5" s="530"/>
      <c r="C5" s="530"/>
      <c r="D5" s="531"/>
      <c r="E5" s="549"/>
      <c r="F5" s="530"/>
      <c r="G5" s="530"/>
      <c r="H5" s="528"/>
      <c r="I5" s="528"/>
      <c r="J5" s="531"/>
      <c r="K5" s="558"/>
    </row>
    <row r="6" spans="1:15" s="134" customFormat="1" ht="12.75" customHeight="1">
      <c r="A6" s="533"/>
      <c r="B6" s="530"/>
      <c r="C6" s="530"/>
      <c r="D6" s="531"/>
      <c r="E6" s="549"/>
      <c r="F6" s="530"/>
      <c r="G6" s="530"/>
      <c r="H6" s="528"/>
      <c r="I6" s="528"/>
      <c r="J6" s="531"/>
      <c r="K6" s="558"/>
    </row>
    <row r="7" spans="1:15" s="134" customFormat="1" ht="12.75" customHeight="1">
      <c r="A7" s="533"/>
      <c r="B7" s="530"/>
      <c r="C7" s="530"/>
      <c r="D7" s="531"/>
      <c r="E7" s="549"/>
      <c r="F7" s="530"/>
      <c r="G7" s="530"/>
      <c r="H7" s="528"/>
      <c r="I7" s="528"/>
      <c r="J7" s="531"/>
      <c r="K7" s="558"/>
    </row>
    <row r="8" spans="1:15" s="134" customFormat="1" ht="12.75" customHeight="1">
      <c r="A8" s="533"/>
      <c r="B8" s="530"/>
      <c r="C8" s="530"/>
      <c r="D8" s="531"/>
      <c r="E8" s="549"/>
      <c r="F8" s="530"/>
      <c r="G8" s="530"/>
      <c r="H8" s="528"/>
      <c r="I8" s="528"/>
      <c r="J8" s="531"/>
      <c r="K8" s="558"/>
    </row>
    <row r="9" spans="1:15" s="134" customFormat="1" ht="12.75" customHeight="1">
      <c r="A9" s="533"/>
      <c r="B9" s="530"/>
      <c r="C9" s="530"/>
      <c r="D9" s="531"/>
      <c r="E9" s="549"/>
      <c r="F9" s="530"/>
      <c r="G9" s="530"/>
      <c r="H9" s="528"/>
      <c r="I9" s="528"/>
      <c r="J9" s="531"/>
      <c r="K9" s="558"/>
    </row>
    <row r="10" spans="1:15" s="134" customFormat="1" ht="12.75" customHeight="1">
      <c r="A10" s="533"/>
      <c r="B10" s="530"/>
      <c r="C10" s="530"/>
      <c r="D10" s="531"/>
      <c r="E10" s="549"/>
      <c r="F10" s="530"/>
      <c r="G10" s="530"/>
      <c r="H10" s="528"/>
      <c r="I10" s="528"/>
      <c r="J10" s="531"/>
      <c r="K10" s="558"/>
    </row>
    <row r="11" spans="1:15" s="134" customFormat="1" ht="12.75" customHeight="1">
      <c r="A11" s="530"/>
      <c r="B11" s="530"/>
      <c r="C11" s="530"/>
      <c r="D11" s="530"/>
      <c r="E11" s="530"/>
      <c r="F11" s="530"/>
      <c r="G11" s="530"/>
      <c r="H11" s="530"/>
      <c r="I11" s="530"/>
      <c r="J11" s="530"/>
      <c r="K11" s="530"/>
    </row>
    <row r="12" spans="1:15" s="134" customFormat="1" ht="12.75" customHeight="1">
      <c r="A12" s="530"/>
      <c r="B12" s="530"/>
      <c r="C12" s="530"/>
      <c r="D12" s="530"/>
      <c r="E12" s="530"/>
      <c r="F12" s="530"/>
      <c r="G12" s="530"/>
      <c r="H12" s="530"/>
      <c r="I12" s="530"/>
      <c r="J12" s="530"/>
      <c r="K12" s="530"/>
    </row>
    <row r="13" spans="1:15" s="134" customFormat="1" ht="12.75" customHeight="1">
      <c r="A13" s="530"/>
      <c r="B13" s="530"/>
      <c r="C13" s="530"/>
      <c r="D13" s="530"/>
      <c r="E13" s="530"/>
      <c r="F13" s="530"/>
      <c r="G13" s="530"/>
      <c r="H13" s="530"/>
      <c r="I13" s="530"/>
      <c r="J13" s="530"/>
      <c r="K13" s="530"/>
    </row>
    <row r="14" spans="1:15" s="134" customFormat="1" ht="12.75" customHeight="1">
      <c r="A14" s="530"/>
      <c r="B14" s="530"/>
      <c r="C14" s="530"/>
      <c r="D14" s="530"/>
      <c r="E14" s="530"/>
      <c r="F14" s="530"/>
      <c r="G14" s="530"/>
      <c r="H14" s="530"/>
      <c r="I14" s="530"/>
      <c r="J14" s="530"/>
      <c r="K14" s="530"/>
    </row>
    <row r="15" spans="1:15" s="134" customFormat="1" ht="30.75" customHeight="1">
      <c r="A15" s="1586" t="s">
        <v>430</v>
      </c>
      <c r="B15" s="1586"/>
      <c r="C15" s="1586"/>
      <c r="D15" s="1586"/>
      <c r="E15" s="1586"/>
      <c r="F15" s="1586"/>
      <c r="G15" s="1586"/>
      <c r="H15" s="1586"/>
      <c r="I15" s="1586"/>
      <c r="J15" s="1586"/>
      <c r="K15" s="1586"/>
      <c r="L15" s="1586"/>
      <c r="M15" s="1586"/>
      <c r="N15" s="1586"/>
      <c r="O15" s="1586"/>
    </row>
    <row r="16" spans="1:15" s="134" customFormat="1" ht="25.5">
      <c r="A16" s="1587" t="s">
        <v>448</v>
      </c>
      <c r="B16" s="1587"/>
      <c r="C16" s="1587"/>
      <c r="D16" s="1587"/>
      <c r="E16" s="1587"/>
      <c r="F16" s="1587"/>
      <c r="G16" s="1587"/>
      <c r="H16" s="1587"/>
      <c r="I16" s="1587"/>
      <c r="J16" s="1587"/>
      <c r="K16" s="1587"/>
      <c r="L16" s="1587"/>
      <c r="M16" s="1587"/>
      <c r="N16" s="1587"/>
      <c r="O16" s="1587"/>
    </row>
    <row r="17" spans="1:15" s="134" customFormat="1" ht="12.75" customHeight="1">
      <c r="A17" s="1579"/>
      <c r="B17" s="1579"/>
      <c r="C17" s="1579"/>
      <c r="D17" s="1579"/>
      <c r="E17" s="1579"/>
      <c r="F17" s="1579"/>
      <c r="G17" s="1579"/>
      <c r="H17" s="1579"/>
      <c r="I17" s="1579"/>
      <c r="J17" s="1579"/>
      <c r="K17" s="1579"/>
      <c r="L17" s="1579"/>
      <c r="M17" s="1579"/>
      <c r="N17" s="1579"/>
      <c r="O17" s="1579"/>
    </row>
    <row r="18" spans="1:15" s="134" customFormat="1" ht="12.75" customHeight="1">
      <c r="A18" s="1579"/>
      <c r="B18" s="1579"/>
      <c r="C18" s="1579"/>
      <c r="D18" s="1579"/>
      <c r="E18" s="1579"/>
      <c r="F18" s="1579"/>
      <c r="G18" s="1579"/>
      <c r="H18" s="1579"/>
      <c r="I18" s="1579"/>
      <c r="J18" s="1579"/>
      <c r="K18" s="1579"/>
      <c r="L18" s="1579"/>
      <c r="M18" s="1579"/>
      <c r="N18" s="1579"/>
      <c r="O18" s="1579"/>
    </row>
    <row r="19" spans="1:15" s="134" customFormat="1" ht="42" customHeight="1">
      <c r="A19" s="1583" t="e">
        <f>#REF!</f>
        <v>#REF!</v>
      </c>
      <c r="B19" s="1583"/>
      <c r="C19" s="1583"/>
      <c r="D19" s="1583"/>
      <c r="E19" s="1583"/>
      <c r="F19" s="1583"/>
      <c r="G19" s="1583"/>
      <c r="H19" s="1583"/>
      <c r="I19" s="1583"/>
      <c r="J19" s="1583"/>
      <c r="K19" s="1583"/>
      <c r="L19" s="1583"/>
      <c r="M19" s="1583"/>
      <c r="N19" s="1583"/>
      <c r="O19" s="1583"/>
    </row>
    <row r="20" spans="1:15" s="134" customFormat="1" ht="12.75" customHeight="1">
      <c r="A20" s="559"/>
      <c r="B20" s="559"/>
      <c r="C20" s="559"/>
      <c r="D20" s="559"/>
      <c r="E20" s="559"/>
      <c r="F20" s="559"/>
      <c r="G20" s="559"/>
      <c r="H20" s="559"/>
      <c r="I20" s="559"/>
      <c r="J20" s="559"/>
      <c r="K20" s="559"/>
    </row>
    <row r="21" spans="1:15" s="134" customFormat="1" ht="22.5" customHeight="1">
      <c r="A21" s="1506" t="e">
        <f>#REF!</f>
        <v>#REF!</v>
      </c>
      <c r="B21" s="1506"/>
      <c r="C21" s="1506"/>
      <c r="D21" s="1506"/>
      <c r="E21" s="1506"/>
      <c r="F21" s="1506"/>
      <c r="G21" s="1506"/>
      <c r="H21" s="1506"/>
      <c r="I21" s="1506"/>
      <c r="J21" s="1506"/>
      <c r="K21" s="1506"/>
      <c r="L21" s="1506"/>
      <c r="M21" s="1506"/>
      <c r="N21" s="1506"/>
      <c r="O21" s="1506"/>
    </row>
    <row r="22" spans="1:15" s="134" customFormat="1" ht="12.75" customHeight="1">
      <c r="A22" s="559"/>
      <c r="B22" s="559"/>
      <c r="C22" s="559"/>
      <c r="D22" s="559"/>
      <c r="E22" s="559"/>
      <c r="F22" s="559"/>
      <c r="G22" s="559"/>
      <c r="H22" s="559"/>
      <c r="I22" s="559"/>
      <c r="J22" s="559"/>
      <c r="K22" s="559"/>
    </row>
    <row r="23" spans="1:15" s="134" customFormat="1" ht="12.75" customHeight="1">
      <c r="A23" s="530"/>
      <c r="B23" s="530"/>
      <c r="C23" s="530"/>
      <c r="D23" s="530"/>
      <c r="E23" s="530"/>
      <c r="F23" s="530"/>
      <c r="G23" s="530"/>
      <c r="H23" s="530"/>
      <c r="I23" s="530"/>
      <c r="J23" s="530"/>
      <c r="K23" s="530"/>
    </row>
    <row r="26" spans="1:15" s="134" customFormat="1" ht="12.75" customHeight="1">
      <c r="A26" s="533"/>
      <c r="B26" s="530"/>
      <c r="C26" s="530"/>
      <c r="D26" s="531"/>
      <c r="E26" s="549"/>
      <c r="F26" s="530"/>
      <c r="G26" s="530"/>
      <c r="H26" s="528"/>
      <c r="I26" s="528"/>
      <c r="J26" s="531"/>
      <c r="K26" s="558"/>
    </row>
    <row r="27" spans="1:15" s="134" customFormat="1" ht="12.75" customHeight="1">
      <c r="A27" s="533"/>
      <c r="B27" s="530"/>
      <c r="C27" s="530"/>
      <c r="D27" s="531"/>
      <c r="E27" s="549"/>
      <c r="F27" s="530"/>
      <c r="G27" s="530"/>
      <c r="H27" s="528"/>
      <c r="I27" s="528"/>
      <c r="J27" s="531"/>
      <c r="K27" s="558"/>
    </row>
    <row r="28" spans="1:15" s="134" customFormat="1" ht="12.75" customHeight="1">
      <c r="A28" s="533"/>
      <c r="B28" s="530"/>
      <c r="C28" s="530"/>
      <c r="D28" s="531"/>
      <c r="E28" s="549"/>
      <c r="F28" s="530"/>
      <c r="G28" s="530"/>
      <c r="H28" s="528"/>
      <c r="I28" s="528"/>
      <c r="J28" s="531"/>
      <c r="K28" s="558"/>
    </row>
    <row r="29" spans="1:15" s="134" customFormat="1" ht="12.75" customHeight="1">
      <c r="A29" s="533"/>
      <c r="B29" s="530"/>
      <c r="C29" s="530"/>
      <c r="D29" s="531"/>
      <c r="E29" s="549"/>
      <c r="F29" s="530"/>
      <c r="G29" s="530"/>
      <c r="H29" s="528"/>
      <c r="I29" s="528"/>
      <c r="J29" s="531"/>
      <c r="K29" s="558"/>
    </row>
    <row r="30" spans="1:15" s="134" customFormat="1" ht="12.75" customHeight="1">
      <c r="A30" s="533"/>
      <c r="B30" s="530"/>
      <c r="C30" s="530"/>
      <c r="D30" s="531"/>
      <c r="E30" s="549"/>
      <c r="F30" s="530"/>
      <c r="G30" s="530"/>
      <c r="H30" s="528"/>
      <c r="I30" s="528"/>
      <c r="J30" s="531"/>
      <c r="K30" s="558"/>
    </row>
    <row r="31" spans="1:15" s="134" customFormat="1" ht="4.5" hidden="1" customHeight="1">
      <c r="A31" s="533"/>
      <c r="B31" s="530"/>
      <c r="C31" s="530"/>
      <c r="D31" s="531"/>
      <c r="E31" s="549"/>
      <c r="F31" s="530"/>
      <c r="G31" s="530"/>
      <c r="H31" s="528"/>
      <c r="I31" s="528"/>
      <c r="J31" s="531"/>
      <c r="K31" s="558"/>
    </row>
    <row r="32" spans="1:15" s="134" customFormat="1" ht="12.75" customHeight="1">
      <c r="A32" s="533"/>
      <c r="B32" s="530"/>
      <c r="C32" s="530"/>
      <c r="D32" s="531"/>
      <c r="E32" s="549"/>
      <c r="F32" s="530"/>
      <c r="G32" s="530"/>
      <c r="H32" s="528"/>
      <c r="I32" s="528"/>
      <c r="J32" s="531"/>
      <c r="K32" s="558"/>
    </row>
    <row r="33" spans="1:11" s="134" customFormat="1" ht="12.75" customHeight="1">
      <c r="A33" s="533"/>
      <c r="B33" s="530"/>
      <c r="C33" s="530"/>
      <c r="D33" s="531"/>
      <c r="E33" s="549"/>
      <c r="F33" s="530"/>
      <c r="G33" s="530"/>
      <c r="H33" s="528"/>
      <c r="I33" s="528"/>
      <c r="J33" s="531"/>
      <c r="K33" s="558"/>
    </row>
    <row r="34" spans="1:11" s="134" customFormat="1" ht="12.75" customHeight="1">
      <c r="A34" s="533"/>
      <c r="B34" s="530"/>
      <c r="C34" s="530"/>
      <c r="D34" s="531"/>
      <c r="E34" s="549"/>
      <c r="F34" s="530"/>
      <c r="G34" s="530"/>
      <c r="H34" s="528"/>
      <c r="I34" s="528"/>
      <c r="J34" s="531"/>
      <c r="K34" s="558"/>
    </row>
    <row r="35" spans="1:11" s="134" customFormat="1" ht="12.75" customHeight="1">
      <c r="A35" s="533"/>
      <c r="B35" s="530"/>
      <c r="C35" s="530"/>
      <c r="D35" s="531"/>
      <c r="E35" s="549"/>
      <c r="F35" s="530"/>
      <c r="G35" s="530"/>
      <c r="H35" s="528"/>
      <c r="I35" s="528"/>
      <c r="J35" s="531"/>
      <c r="K35" s="558"/>
    </row>
    <row r="36" spans="1:11" s="134" customFormat="1" ht="12.75" customHeight="1">
      <c r="A36" s="533"/>
      <c r="B36" s="530"/>
      <c r="C36" s="530"/>
      <c r="D36" s="531"/>
      <c r="E36" s="549"/>
      <c r="F36" s="530"/>
      <c r="G36" s="530"/>
      <c r="H36" s="528"/>
      <c r="I36" s="528"/>
      <c r="J36" s="531"/>
      <c r="K36" s="558"/>
    </row>
    <row r="37" spans="1:11" s="134" customFormat="1" ht="12.75" customHeight="1">
      <c r="A37" s="533"/>
      <c r="B37" s="530"/>
      <c r="C37" s="530"/>
      <c r="D37" s="531"/>
      <c r="E37" s="549"/>
      <c r="F37" s="530"/>
      <c r="G37" s="530"/>
      <c r="H37" s="528"/>
      <c r="I37" s="528"/>
      <c r="J37" s="531"/>
      <c r="K37" s="558"/>
    </row>
    <row r="38" spans="1:11" s="134" customFormat="1" ht="12.75" customHeight="1">
      <c r="A38" s="533"/>
      <c r="B38" s="530"/>
      <c r="C38" s="530"/>
      <c r="D38" s="531"/>
      <c r="E38" s="549"/>
      <c r="F38" s="530"/>
      <c r="G38" s="530"/>
      <c r="H38" s="528"/>
      <c r="I38" s="528"/>
      <c r="J38" s="531"/>
      <c r="K38" s="558"/>
    </row>
    <row r="39" spans="1:11" s="134" customFormat="1" ht="12.75" customHeight="1">
      <c r="A39" s="533"/>
      <c r="B39" s="530"/>
      <c r="C39" s="530"/>
      <c r="D39" s="531"/>
      <c r="E39" s="549"/>
      <c r="F39" s="530"/>
      <c r="G39" s="530"/>
      <c r="H39" s="528"/>
      <c r="I39" s="528"/>
      <c r="J39" s="531"/>
      <c r="K39" s="558"/>
    </row>
    <row r="40" spans="1:11" s="134" customFormat="1" ht="12.75" customHeight="1">
      <c r="A40" s="533"/>
      <c r="B40" s="530"/>
      <c r="C40" s="530"/>
      <c r="D40" s="531"/>
      <c r="E40" s="549"/>
      <c r="F40" s="530"/>
      <c r="G40" s="530"/>
      <c r="H40" s="528"/>
      <c r="I40" s="528"/>
      <c r="J40" s="531"/>
      <c r="K40" s="558"/>
    </row>
    <row r="41" spans="1:11" s="134" customFormat="1" ht="12.75" customHeight="1">
      <c r="A41" s="533"/>
      <c r="B41" s="530"/>
      <c r="C41" s="530"/>
      <c r="D41" s="531"/>
      <c r="E41" s="549"/>
      <c r="F41" s="530"/>
      <c r="G41" s="530"/>
      <c r="H41" s="528"/>
      <c r="I41" s="528"/>
      <c r="J41" s="531"/>
      <c r="K41" s="558"/>
    </row>
    <row r="42" spans="1:11" s="134" customFormat="1" ht="12.75" customHeight="1">
      <c r="A42" s="533"/>
      <c r="B42" s="530"/>
      <c r="C42" s="530"/>
      <c r="D42" s="531"/>
      <c r="E42" s="549"/>
      <c r="F42" s="530"/>
      <c r="G42" s="530"/>
      <c r="H42" s="528"/>
      <c r="I42" s="528"/>
      <c r="J42" s="531"/>
      <c r="K42" s="558"/>
    </row>
    <row r="43" spans="1:11" s="134" customFormat="1" ht="12.75" customHeight="1">
      <c r="A43" s="533"/>
      <c r="B43" s="530"/>
      <c r="C43" s="530"/>
      <c r="D43" s="531"/>
      <c r="E43" s="549"/>
      <c r="F43" s="530"/>
      <c r="G43" s="530"/>
      <c r="H43" s="528"/>
      <c r="I43" s="528"/>
      <c r="J43" s="531"/>
      <c r="K43" s="558"/>
    </row>
    <row r="44" spans="1:11" s="134" customFormat="1" ht="12.75" customHeight="1">
      <c r="A44" s="533"/>
      <c r="B44" s="530"/>
      <c r="C44" s="530"/>
      <c r="D44" s="531"/>
      <c r="E44" s="549"/>
      <c r="F44" s="530"/>
      <c r="G44" s="530"/>
      <c r="H44" s="528"/>
      <c r="I44" s="528"/>
      <c r="J44" s="531"/>
      <c r="K44" s="558"/>
    </row>
    <row r="45" spans="1:11" s="134" customFormat="1" ht="12.75" customHeight="1">
      <c r="A45" s="533"/>
      <c r="B45" s="530"/>
      <c r="C45" s="530"/>
      <c r="D45" s="531"/>
      <c r="E45" s="549"/>
      <c r="F45" s="530"/>
      <c r="G45" s="530"/>
      <c r="H45" s="528"/>
      <c r="I45" s="528"/>
      <c r="J45" s="531"/>
      <c r="K45" s="558"/>
    </row>
    <row r="46" spans="1:11" s="134" customFormat="1" ht="12.75" customHeight="1">
      <c r="A46" s="533"/>
      <c r="B46" s="530"/>
      <c r="C46" s="530"/>
      <c r="D46" s="531"/>
      <c r="E46" s="549"/>
      <c r="F46" s="530"/>
      <c r="G46" s="530"/>
      <c r="H46" s="528"/>
      <c r="I46" s="528"/>
      <c r="J46" s="531"/>
      <c r="K46" s="558"/>
    </row>
    <row r="47" spans="1:11" s="134" customFormat="1" ht="12.75" customHeight="1">
      <c r="A47" s="533"/>
      <c r="B47" s="530"/>
      <c r="C47" s="530"/>
      <c r="D47" s="531"/>
      <c r="E47" s="549"/>
      <c r="F47" s="530"/>
      <c r="G47" s="530"/>
      <c r="H47" s="528"/>
      <c r="I47" s="528"/>
      <c r="J47" s="531"/>
      <c r="K47" s="558"/>
    </row>
    <row r="48" spans="1:11" s="134" customFormat="1" ht="12.75" customHeight="1">
      <c r="A48" s="533"/>
      <c r="B48" s="530"/>
      <c r="C48" s="530"/>
      <c r="D48" s="531"/>
      <c r="E48" s="549"/>
      <c r="F48" s="530"/>
      <c r="G48" s="530"/>
      <c r="H48" s="528"/>
      <c r="I48" s="528"/>
      <c r="J48" s="531"/>
      <c r="K48" s="558"/>
    </row>
    <row r="49" spans="1:16" s="134" customFormat="1" ht="12.75" customHeight="1">
      <c r="A49" s="533"/>
      <c r="B49" s="530"/>
      <c r="C49" s="530"/>
      <c r="D49" s="531"/>
      <c r="E49" s="549"/>
      <c r="F49" s="530"/>
      <c r="G49" s="530"/>
      <c r="H49" s="528"/>
      <c r="I49" s="528"/>
      <c r="J49" s="531"/>
      <c r="K49" s="558"/>
    </row>
    <row r="50" spans="1:16" s="134" customFormat="1" ht="12.75" customHeight="1">
      <c r="A50" s="167"/>
      <c r="B50" s="168"/>
      <c r="C50" s="169"/>
      <c r="D50" s="169"/>
      <c r="E50" s="169"/>
      <c r="F50" s="169"/>
      <c r="G50" s="169"/>
      <c r="H50" s="168"/>
      <c r="I50" s="562"/>
      <c r="J50" s="168"/>
      <c r="K50" s="170"/>
    </row>
    <row r="51" spans="1:16" s="134" customFormat="1" ht="12.75" customHeight="1">
      <c r="A51" s="533"/>
      <c r="B51" s="530"/>
      <c r="C51" s="530"/>
      <c r="D51" s="531"/>
      <c r="E51" s="549"/>
      <c r="F51" s="530"/>
      <c r="G51" s="530"/>
      <c r="H51" s="528"/>
      <c r="I51" s="528"/>
      <c r="J51" s="531"/>
      <c r="K51" s="558"/>
    </row>
    <row r="52" spans="1:16" s="134" customFormat="1" ht="32.25" customHeight="1">
      <c r="A52" s="1584" t="e">
        <f>#REF!</f>
        <v>#REF!</v>
      </c>
      <c r="B52" s="1584"/>
      <c r="C52" s="1584"/>
      <c r="D52" s="1584"/>
      <c r="E52" s="1584"/>
      <c r="F52" s="1584"/>
      <c r="G52" s="1584"/>
      <c r="H52" s="1584"/>
      <c r="I52" s="1584"/>
      <c r="J52" s="1584"/>
      <c r="K52" s="1584"/>
      <c r="L52" s="1584"/>
      <c r="M52" s="1584"/>
      <c r="N52" s="1584"/>
      <c r="O52" s="1584"/>
    </row>
    <row r="53" spans="1:16" s="134" customFormat="1" ht="15.75" customHeight="1">
      <c r="A53" s="1585" t="e">
        <f>#REF!</f>
        <v>#REF!</v>
      </c>
      <c r="B53" s="1585"/>
      <c r="C53" s="1585"/>
      <c r="D53" s="1585"/>
      <c r="E53" s="1585"/>
      <c r="F53" s="1585"/>
      <c r="G53" s="1585"/>
      <c r="H53" s="1585"/>
      <c r="I53" s="1585"/>
      <c r="J53" s="1585"/>
      <c r="K53" s="1585"/>
      <c r="L53" s="1585"/>
      <c r="M53" s="1585"/>
      <c r="N53" s="1585"/>
      <c r="O53" s="1585"/>
    </row>
    <row r="54" spans="1:16" ht="18">
      <c r="A54" s="1570" t="s">
        <v>430</v>
      </c>
      <c r="B54" s="1570"/>
      <c r="C54" s="1570"/>
      <c r="D54" s="1570"/>
      <c r="E54" s="1570"/>
      <c r="F54" s="1570"/>
      <c r="G54" s="1570"/>
      <c r="H54" s="1570"/>
      <c r="I54" s="1570"/>
      <c r="J54" s="1570"/>
      <c r="K54" s="1570"/>
      <c r="L54" s="1570"/>
      <c r="M54" s="1570"/>
      <c r="N54" s="1570"/>
      <c r="O54" s="1570"/>
    </row>
    <row r="55" spans="1:16" s="216" customFormat="1" ht="33" customHeight="1">
      <c r="A55" s="1580" t="s">
        <v>454</v>
      </c>
      <c r="B55" s="1580"/>
      <c r="C55" s="1580"/>
      <c r="D55" s="1580"/>
      <c r="E55" s="1580"/>
      <c r="F55" s="1580"/>
      <c r="G55" s="1580"/>
      <c r="H55" s="1580"/>
      <c r="I55" s="1581" t="e">
        <f>A21</f>
        <v>#REF!</v>
      </c>
      <c r="J55" s="1581"/>
      <c r="K55" s="1581"/>
      <c r="L55" s="1581"/>
      <c r="M55" s="1581"/>
      <c r="N55" s="1581"/>
      <c r="O55" s="1581"/>
    </row>
    <row r="56" spans="1:16" s="553" customFormat="1" ht="14.25">
      <c r="A56" s="554"/>
    </row>
    <row r="57" spans="1:16" s="553" customFormat="1" ht="14.25">
      <c r="B57" s="554" t="s">
        <v>431</v>
      </c>
    </row>
    <row r="58" spans="1:16" s="553" customFormat="1" ht="14.25">
      <c r="A58" s="556" t="s">
        <v>450</v>
      </c>
      <c r="B58" s="1574" t="s">
        <v>449</v>
      </c>
      <c r="C58" s="1574"/>
      <c r="D58" s="1574"/>
      <c r="E58" s="1574"/>
      <c r="F58" s="1588" t="e">
        <f>A53</f>
        <v>#REF!</v>
      </c>
      <c r="G58" s="1588"/>
      <c r="H58" s="1588"/>
      <c r="I58" s="1588"/>
      <c r="J58" s="1588"/>
      <c r="K58" s="1588"/>
      <c r="L58" s="1588"/>
      <c r="M58" s="1588"/>
      <c r="N58" s="1588"/>
      <c r="O58" s="1588"/>
      <c r="P58" s="1588"/>
    </row>
    <row r="59" spans="1:16" s="553" customFormat="1" ht="14.25">
      <c r="A59" s="556" t="s">
        <v>432</v>
      </c>
    </row>
    <row r="60" spans="1:16" s="553" customFormat="1" ht="14.25">
      <c r="A60" s="556" t="s">
        <v>451</v>
      </c>
      <c r="B60" s="1574" t="s">
        <v>457</v>
      </c>
      <c r="C60" s="1574"/>
      <c r="D60" s="1574"/>
      <c r="E60" s="1574"/>
      <c r="F60" s="1574"/>
      <c r="G60" s="1574"/>
      <c r="H60" s="1574"/>
      <c r="I60" s="1582" t="e">
        <f>A52</f>
        <v>#REF!</v>
      </c>
      <c r="J60" s="1582"/>
      <c r="K60" s="1582"/>
      <c r="L60" s="1582"/>
      <c r="M60" s="1582"/>
      <c r="N60" s="1582"/>
      <c r="O60" s="1582"/>
    </row>
    <row r="61" spans="1:16" s="553" customFormat="1" ht="14.25">
      <c r="A61" s="556"/>
    </row>
    <row r="62" spans="1:16" s="553" customFormat="1" ht="14.25">
      <c r="A62" s="556" t="s">
        <v>452</v>
      </c>
      <c r="B62" s="1574" t="s">
        <v>458</v>
      </c>
      <c r="C62" s="1574"/>
      <c r="D62" s="1574"/>
      <c r="E62" s="1574"/>
      <c r="F62" s="1574"/>
      <c r="G62" s="1574"/>
      <c r="H62" s="1574"/>
      <c r="I62" s="810" t="e">
        <f>A52</f>
        <v>#REF!</v>
      </c>
    </row>
    <row r="63" spans="1:16" s="553" customFormat="1" ht="14.25">
      <c r="A63" s="556" t="s">
        <v>433</v>
      </c>
    </row>
    <row r="64" spans="1:16" s="553" customFormat="1" ht="18">
      <c r="A64" s="556" t="s">
        <v>456</v>
      </c>
      <c r="B64" s="553" t="s">
        <v>453</v>
      </c>
      <c r="H64" s="579" t="e">
        <f>E66+G67</f>
        <v>#REF!</v>
      </c>
      <c r="I64" s="553" t="s">
        <v>455</v>
      </c>
      <c r="J64" s="563"/>
      <c r="K64" s="553" t="s">
        <v>1052</v>
      </c>
    </row>
    <row r="65" spans="1:19" s="553" customFormat="1" ht="14.25">
      <c r="A65" s="556"/>
      <c r="H65" s="564"/>
      <c r="J65" s="564"/>
    </row>
    <row r="66" spans="1:19" s="553" customFormat="1" ht="18">
      <c r="A66" s="556"/>
      <c r="B66" s="1574" t="s">
        <v>459</v>
      </c>
      <c r="C66" s="1574"/>
      <c r="D66" s="1574"/>
      <c r="E66" s="579" t="e">
        <f>I66+L66</f>
        <v>#REF!</v>
      </c>
      <c r="F66" s="1574" t="s">
        <v>460</v>
      </c>
      <c r="G66" s="1574"/>
      <c r="H66" s="1574"/>
      <c r="I66" s="579" t="e">
        <f>COUNTIF(#REF!,"М")</f>
        <v>#REF!</v>
      </c>
      <c r="J66" s="1589" t="s">
        <v>461</v>
      </c>
      <c r="K66" s="1589"/>
      <c r="L66" s="579" t="e">
        <f>COUNTIF(#REF!,"Ж")</f>
        <v>#REF!</v>
      </c>
      <c r="M66" s="553" t="s">
        <v>227</v>
      </c>
    </row>
    <row r="67" spans="1:19" s="553" customFormat="1" ht="18">
      <c r="B67" s="1574" t="s">
        <v>462</v>
      </c>
      <c r="C67" s="1574"/>
      <c r="D67" s="1574"/>
      <c r="E67" s="1574"/>
      <c r="F67" s="1574"/>
      <c r="G67" s="579" t="e">
        <f>COUNTIF(#REF!,"Тренер-представитель")</f>
        <v>#REF!</v>
      </c>
      <c r="H67" s="553" t="s">
        <v>463</v>
      </c>
    </row>
    <row r="68" spans="1:19" s="553" customFormat="1" ht="14.25">
      <c r="A68" s="556"/>
    </row>
    <row r="69" spans="1:19" s="553" customFormat="1" ht="18">
      <c r="A69" s="556" t="s">
        <v>464</v>
      </c>
      <c r="B69" s="1574" t="s">
        <v>465</v>
      </c>
      <c r="C69" s="1574"/>
      <c r="D69" s="1574"/>
      <c r="E69" s="1574"/>
      <c r="F69" s="1574"/>
      <c r="G69" s="579">
        <f>COUNTA(#REF!)</f>
        <v>1</v>
      </c>
      <c r="H69" s="1589" t="s">
        <v>466</v>
      </c>
      <c r="I69" s="1589"/>
      <c r="J69" s="1589"/>
      <c r="K69" s="1589"/>
      <c r="L69" s="1589"/>
      <c r="M69" s="580" t="e">
        <f>G69-COUNTIF(#REF!,"Красноярск")</f>
        <v>#REF!</v>
      </c>
      <c r="N69" s="553" t="s">
        <v>122</v>
      </c>
    </row>
    <row r="70" spans="1:19" s="553" customFormat="1" ht="20.25" customHeight="1">
      <c r="A70" s="578" t="s">
        <v>536</v>
      </c>
      <c r="J70" s="577" t="s">
        <v>537</v>
      </c>
      <c r="K70" s="579" t="e">
        <f>COUNTIF(#REF!,"МК")</f>
        <v>#REF!</v>
      </c>
      <c r="L70" s="553" t="s">
        <v>538</v>
      </c>
      <c r="M70" s="581" t="e">
        <f>COUNTIF(#REF!,"ВК")</f>
        <v>#REF!</v>
      </c>
      <c r="N70" s="553" t="s">
        <v>542</v>
      </c>
      <c r="O70" s="579" t="e">
        <f>COUNTIF(#REF!,"I")</f>
        <v>#REF!</v>
      </c>
    </row>
    <row r="71" spans="1:19" s="553" customFormat="1" ht="18">
      <c r="A71" s="579" t="e">
        <f>G69-K70-M70-O70</f>
        <v>#REF!</v>
      </c>
      <c r="B71" s="553" t="s">
        <v>539</v>
      </c>
    </row>
    <row r="72" spans="1:19" s="553" customFormat="1" ht="14.25">
      <c r="A72" s="556"/>
    </row>
    <row r="73" spans="1:19" s="553" customFormat="1" ht="36.75" customHeight="1">
      <c r="A73" s="566" t="s">
        <v>473</v>
      </c>
      <c r="B73" s="1555" t="s">
        <v>474</v>
      </c>
      <c r="C73" s="1555"/>
      <c r="D73" s="1555"/>
      <c r="E73" s="1555"/>
      <c r="F73" s="1555"/>
      <c r="G73" s="1555"/>
      <c r="H73" s="1555"/>
      <c r="I73" s="1555"/>
      <c r="J73" s="1555"/>
      <c r="K73" s="1555"/>
      <c r="L73" s="1555"/>
      <c r="M73" s="1555"/>
      <c r="N73" s="1555"/>
      <c r="O73" s="1555"/>
      <c r="S73" s="577"/>
    </row>
    <row r="74" spans="1:19" s="553" customFormat="1" ht="14.25">
      <c r="A74" s="556"/>
    </row>
    <row r="75" spans="1:19" s="553" customFormat="1" ht="19.5" customHeight="1">
      <c r="A75" s="1556" t="s">
        <v>0</v>
      </c>
      <c r="B75" s="1557" t="s">
        <v>434</v>
      </c>
      <c r="C75" s="1557"/>
      <c r="D75" s="1557"/>
      <c r="E75" s="1557"/>
      <c r="F75" s="1557"/>
      <c r="G75" s="1557"/>
      <c r="H75" s="1557"/>
      <c r="I75" s="1557"/>
      <c r="J75" s="1557" t="s">
        <v>435</v>
      </c>
      <c r="K75" s="1557"/>
      <c r="L75" s="1557"/>
      <c r="M75" s="1550" t="s">
        <v>475</v>
      </c>
      <c r="N75" s="1550"/>
      <c r="O75" s="1557" t="s">
        <v>436</v>
      </c>
    </row>
    <row r="76" spans="1:19" s="553" customFormat="1" ht="56.25">
      <c r="A76" s="1556"/>
      <c r="B76" s="1557"/>
      <c r="C76" s="1557"/>
      <c r="D76" s="1557"/>
      <c r="E76" s="1557"/>
      <c r="F76" s="1557"/>
      <c r="G76" s="1557"/>
      <c r="H76" s="1557"/>
      <c r="I76" s="1557"/>
      <c r="J76" s="567" t="s">
        <v>164</v>
      </c>
      <c r="K76" s="567" t="s">
        <v>163</v>
      </c>
      <c r="L76" s="567" t="s">
        <v>436</v>
      </c>
      <c r="M76" s="1550"/>
      <c r="N76" s="1550"/>
      <c r="O76" s="1557"/>
    </row>
    <row r="77" spans="1:19" s="553" customFormat="1" ht="14.25">
      <c r="A77" s="582" t="e">
        <f>#REF!</f>
        <v>#REF!</v>
      </c>
      <c r="B77" s="1593" t="e">
        <f>#REF!</f>
        <v>#REF!</v>
      </c>
      <c r="C77" s="1594"/>
      <c r="D77" s="1594"/>
      <c r="E77" s="1594"/>
      <c r="F77" s="1594"/>
      <c r="G77" s="1594"/>
      <c r="H77" s="1594"/>
      <c r="I77" s="1595"/>
      <c r="J77" s="583" t="e">
        <f>COUNTIFS(#REF!,B77,#REF!,"М")</f>
        <v>#REF!</v>
      </c>
      <c r="K77" s="583" t="e">
        <f>COUNTIFS(#REF!,B77,#REF!,"Ж")</f>
        <v>#REF!</v>
      </c>
      <c r="L77" s="583" t="e">
        <f>J77+K77</f>
        <v>#REF!</v>
      </c>
      <c r="M77" s="1591">
        <v>1</v>
      </c>
      <c r="N77" s="1592"/>
      <c r="O77" s="583" t="e">
        <f>J77+K77+M77</f>
        <v>#REF!</v>
      </c>
    </row>
    <row r="78" spans="1:19" s="553" customFormat="1" ht="14.25">
      <c r="A78" s="1003" t="e">
        <f>#REF!</f>
        <v>#REF!</v>
      </c>
      <c r="B78" s="1593" t="e">
        <f>#REF!</f>
        <v>#REF!</v>
      </c>
      <c r="C78" s="1594"/>
      <c r="D78" s="1594"/>
      <c r="E78" s="1594"/>
      <c r="F78" s="1594"/>
      <c r="G78" s="1594"/>
      <c r="H78" s="1594"/>
      <c r="I78" s="1595"/>
      <c r="J78" s="583" t="e">
        <f>COUNTIFS(#REF!,B78,#REF!,"М")</f>
        <v>#REF!</v>
      </c>
      <c r="K78" s="583" t="e">
        <f>COUNTIFS(#REF!,B78,#REF!,"Ж")</f>
        <v>#REF!</v>
      </c>
      <c r="L78" s="583" t="e">
        <f t="shared" ref="L78:L88" si="0">J78+K78</f>
        <v>#REF!</v>
      </c>
      <c r="M78" s="1591">
        <v>1</v>
      </c>
      <c r="N78" s="1592"/>
      <c r="O78" s="583" t="e">
        <f t="shared" ref="O78:O88" si="1">J78+K78+M78</f>
        <v>#REF!</v>
      </c>
    </row>
    <row r="79" spans="1:19" s="553" customFormat="1" ht="14.25">
      <c r="A79" s="1003" t="e">
        <f>#REF!</f>
        <v>#REF!</v>
      </c>
      <c r="B79" s="1593" t="e">
        <f>#REF!</f>
        <v>#REF!</v>
      </c>
      <c r="C79" s="1594"/>
      <c r="D79" s="1594"/>
      <c r="E79" s="1594"/>
      <c r="F79" s="1594"/>
      <c r="G79" s="1594"/>
      <c r="H79" s="1594"/>
      <c r="I79" s="1595"/>
      <c r="J79" s="583" t="e">
        <f>COUNTIFS(#REF!,B79,#REF!,"М")</f>
        <v>#REF!</v>
      </c>
      <c r="K79" s="583" t="e">
        <f>COUNTIFS(#REF!,B79,#REF!,"Ж")</f>
        <v>#REF!</v>
      </c>
      <c r="L79" s="583" t="e">
        <f t="shared" si="0"/>
        <v>#REF!</v>
      </c>
      <c r="M79" s="1591">
        <v>1</v>
      </c>
      <c r="N79" s="1592"/>
      <c r="O79" s="583" t="e">
        <f t="shared" si="1"/>
        <v>#REF!</v>
      </c>
    </row>
    <row r="80" spans="1:19" s="553" customFormat="1" ht="14.25">
      <c r="A80" s="1003" t="e">
        <f>#REF!</f>
        <v>#REF!</v>
      </c>
      <c r="B80" s="1593" t="e">
        <f>#REF!</f>
        <v>#REF!</v>
      </c>
      <c r="C80" s="1594"/>
      <c r="D80" s="1594"/>
      <c r="E80" s="1594"/>
      <c r="F80" s="1594"/>
      <c r="G80" s="1594"/>
      <c r="H80" s="1594"/>
      <c r="I80" s="1595"/>
      <c r="J80" s="583" t="e">
        <f>COUNTIFS(#REF!,B80,#REF!,"М")</f>
        <v>#REF!</v>
      </c>
      <c r="K80" s="583" t="e">
        <f>COUNTIFS(#REF!,B80,#REF!,"Ж")</f>
        <v>#REF!</v>
      </c>
      <c r="L80" s="583" t="e">
        <f t="shared" si="0"/>
        <v>#REF!</v>
      </c>
      <c r="M80" s="1591">
        <v>1</v>
      </c>
      <c r="N80" s="1592"/>
      <c r="O80" s="583" t="e">
        <f t="shared" si="1"/>
        <v>#REF!</v>
      </c>
    </row>
    <row r="81" spans="1:15" s="553" customFormat="1" ht="14.25">
      <c r="A81" s="1003" t="e">
        <f>#REF!</f>
        <v>#REF!</v>
      </c>
      <c r="B81" s="1593" t="e">
        <f>#REF!</f>
        <v>#REF!</v>
      </c>
      <c r="C81" s="1594"/>
      <c r="D81" s="1594"/>
      <c r="E81" s="1594"/>
      <c r="F81" s="1594"/>
      <c r="G81" s="1594"/>
      <c r="H81" s="1594"/>
      <c r="I81" s="1595"/>
      <c r="J81" s="583" t="e">
        <f>COUNTIFS(#REF!,B81,#REF!,"М")</f>
        <v>#REF!</v>
      </c>
      <c r="K81" s="583" t="e">
        <f>COUNTIFS(#REF!,B81,#REF!,"Ж")</f>
        <v>#REF!</v>
      </c>
      <c r="L81" s="583" t="e">
        <f t="shared" si="0"/>
        <v>#REF!</v>
      </c>
      <c r="M81" s="1591">
        <v>1</v>
      </c>
      <c r="N81" s="1592"/>
      <c r="O81" s="583" t="e">
        <f t="shared" si="1"/>
        <v>#REF!</v>
      </c>
    </row>
    <row r="82" spans="1:15" s="553" customFormat="1" ht="14.25">
      <c r="A82" s="1003" t="e">
        <f>#REF!</f>
        <v>#REF!</v>
      </c>
      <c r="B82" s="1593" t="e">
        <f>#REF!</f>
        <v>#REF!</v>
      </c>
      <c r="C82" s="1594"/>
      <c r="D82" s="1594"/>
      <c r="E82" s="1594"/>
      <c r="F82" s="1594"/>
      <c r="G82" s="1594"/>
      <c r="H82" s="1594"/>
      <c r="I82" s="1595"/>
      <c r="J82" s="583" t="e">
        <f>COUNTIFS(#REF!,B82,#REF!,"М")</f>
        <v>#REF!</v>
      </c>
      <c r="K82" s="583" t="e">
        <f>COUNTIFS(#REF!,B82,#REF!,"Ж")</f>
        <v>#REF!</v>
      </c>
      <c r="L82" s="583" t="e">
        <f t="shared" si="0"/>
        <v>#REF!</v>
      </c>
      <c r="M82" s="1591">
        <v>1</v>
      </c>
      <c r="N82" s="1592"/>
      <c r="O82" s="583" t="e">
        <f t="shared" si="1"/>
        <v>#REF!</v>
      </c>
    </row>
    <row r="83" spans="1:15" s="553" customFormat="1" ht="14.25">
      <c r="A83" s="1003" t="e">
        <f>#REF!</f>
        <v>#REF!</v>
      </c>
      <c r="B83" s="1593" t="e">
        <f>#REF!</f>
        <v>#REF!</v>
      </c>
      <c r="C83" s="1594"/>
      <c r="D83" s="1594"/>
      <c r="E83" s="1594"/>
      <c r="F83" s="1594"/>
      <c r="G83" s="1594"/>
      <c r="H83" s="1594"/>
      <c r="I83" s="1595"/>
      <c r="J83" s="583" t="e">
        <f>COUNTIFS(#REF!,B83,#REF!,"М")</f>
        <v>#REF!</v>
      </c>
      <c r="K83" s="583" t="e">
        <f>COUNTIFS(#REF!,B83,#REF!,"Ж")</f>
        <v>#REF!</v>
      </c>
      <c r="L83" s="583" t="e">
        <f t="shared" si="0"/>
        <v>#REF!</v>
      </c>
      <c r="M83" s="1591">
        <v>1</v>
      </c>
      <c r="N83" s="1592"/>
      <c r="O83" s="583" t="e">
        <f t="shared" si="1"/>
        <v>#REF!</v>
      </c>
    </row>
    <row r="84" spans="1:15" s="553" customFormat="1" ht="14.25">
      <c r="A84" s="1003" t="e">
        <f>#REF!</f>
        <v>#REF!</v>
      </c>
      <c r="B84" s="1593" t="e">
        <f>#REF!</f>
        <v>#REF!</v>
      </c>
      <c r="C84" s="1594"/>
      <c r="D84" s="1594"/>
      <c r="E84" s="1594"/>
      <c r="F84" s="1594"/>
      <c r="G84" s="1594"/>
      <c r="H84" s="1594"/>
      <c r="I84" s="1595"/>
      <c r="J84" s="583" t="e">
        <f>COUNTIFS(#REF!,B84,#REF!,"М")</f>
        <v>#REF!</v>
      </c>
      <c r="K84" s="583" t="e">
        <f>COUNTIFS(#REF!,B84,#REF!,"Ж")</f>
        <v>#REF!</v>
      </c>
      <c r="L84" s="583" t="e">
        <f t="shared" si="0"/>
        <v>#REF!</v>
      </c>
      <c r="M84" s="1591">
        <v>1</v>
      </c>
      <c r="N84" s="1592"/>
      <c r="O84" s="583" t="e">
        <f t="shared" si="1"/>
        <v>#REF!</v>
      </c>
    </row>
    <row r="85" spans="1:15" s="553" customFormat="1" ht="14.25">
      <c r="A85" s="1003" t="e">
        <f>#REF!</f>
        <v>#REF!</v>
      </c>
      <c r="B85" s="1593" t="e">
        <f>#REF!</f>
        <v>#REF!</v>
      </c>
      <c r="C85" s="1594"/>
      <c r="D85" s="1594"/>
      <c r="E85" s="1594"/>
      <c r="F85" s="1594"/>
      <c r="G85" s="1594"/>
      <c r="H85" s="1594"/>
      <c r="I85" s="1595"/>
      <c r="J85" s="583" t="e">
        <f>COUNTIFS(#REF!,B85,#REF!,"М")</f>
        <v>#REF!</v>
      </c>
      <c r="K85" s="583" t="e">
        <f>COUNTIFS(#REF!,B85,#REF!,"Ж")</f>
        <v>#REF!</v>
      </c>
      <c r="L85" s="583" t="e">
        <f t="shared" si="0"/>
        <v>#REF!</v>
      </c>
      <c r="M85" s="1591">
        <v>1</v>
      </c>
      <c r="N85" s="1592"/>
      <c r="O85" s="583" t="e">
        <f t="shared" si="1"/>
        <v>#REF!</v>
      </c>
    </row>
    <row r="86" spans="1:15" s="553" customFormat="1" ht="14.25">
      <c r="A86" s="1003" t="e">
        <f>#REF!</f>
        <v>#REF!</v>
      </c>
      <c r="B86" s="1593" t="e">
        <f>#REF!</f>
        <v>#REF!</v>
      </c>
      <c r="C86" s="1594"/>
      <c r="D86" s="1594"/>
      <c r="E86" s="1594"/>
      <c r="F86" s="1594"/>
      <c r="G86" s="1594"/>
      <c r="H86" s="1594"/>
      <c r="I86" s="1595"/>
      <c r="J86" s="583" t="e">
        <f>COUNTIFS(#REF!,B86,#REF!,"М")</f>
        <v>#REF!</v>
      </c>
      <c r="K86" s="583" t="e">
        <f>COUNTIFS(#REF!,B86,#REF!,"Ж")</f>
        <v>#REF!</v>
      </c>
      <c r="L86" s="583" t="e">
        <f t="shared" si="0"/>
        <v>#REF!</v>
      </c>
      <c r="M86" s="1591">
        <v>1</v>
      </c>
      <c r="N86" s="1592"/>
      <c r="O86" s="583" t="e">
        <f t="shared" si="1"/>
        <v>#REF!</v>
      </c>
    </row>
    <row r="87" spans="1:15" s="553" customFormat="1" ht="14.25">
      <c r="A87" s="1003" t="e">
        <f>#REF!</f>
        <v>#REF!</v>
      </c>
      <c r="B87" s="1593" t="e">
        <f>#REF!</f>
        <v>#REF!</v>
      </c>
      <c r="C87" s="1594"/>
      <c r="D87" s="1594"/>
      <c r="E87" s="1594"/>
      <c r="F87" s="1594"/>
      <c r="G87" s="1594"/>
      <c r="H87" s="1594"/>
      <c r="I87" s="1595"/>
      <c r="J87" s="583" t="e">
        <f>COUNTIFS(#REF!,B87,#REF!,"М")</f>
        <v>#REF!</v>
      </c>
      <c r="K87" s="583" t="e">
        <f>COUNTIFS(#REF!,B87,#REF!,"Ж")</f>
        <v>#REF!</v>
      </c>
      <c r="L87" s="583" t="e">
        <f t="shared" si="0"/>
        <v>#REF!</v>
      </c>
      <c r="M87" s="1591">
        <v>1</v>
      </c>
      <c r="N87" s="1592"/>
      <c r="O87" s="583" t="e">
        <f t="shared" si="1"/>
        <v>#REF!</v>
      </c>
    </row>
    <row r="88" spans="1:15" s="553" customFormat="1" ht="14.25">
      <c r="A88" s="1003" t="e">
        <f>#REF!</f>
        <v>#REF!</v>
      </c>
      <c r="B88" s="1593" t="e">
        <f>#REF!</f>
        <v>#REF!</v>
      </c>
      <c r="C88" s="1594"/>
      <c r="D88" s="1594"/>
      <c r="E88" s="1594"/>
      <c r="F88" s="1594"/>
      <c r="G88" s="1594"/>
      <c r="H88" s="1594"/>
      <c r="I88" s="1595"/>
      <c r="J88" s="583" t="e">
        <f>COUNTIFS(#REF!,B88,#REF!,"М")</f>
        <v>#REF!</v>
      </c>
      <c r="K88" s="583" t="e">
        <f>COUNTIFS(#REF!,B88,#REF!,"Ж")</f>
        <v>#REF!</v>
      </c>
      <c r="L88" s="583" t="e">
        <f t="shared" si="0"/>
        <v>#REF!</v>
      </c>
      <c r="M88" s="1591">
        <v>1</v>
      </c>
      <c r="N88" s="1592"/>
      <c r="O88" s="583" t="e">
        <f t="shared" si="1"/>
        <v>#REF!</v>
      </c>
    </row>
    <row r="89" spans="1:15" s="553" customFormat="1" ht="14.25">
      <c r="A89" s="1003" t="e">
        <f>#REF!</f>
        <v>#REF!</v>
      </c>
      <c r="B89" s="1593" t="e">
        <f>#REF!</f>
        <v>#REF!</v>
      </c>
      <c r="C89" s="1594"/>
      <c r="D89" s="1594"/>
      <c r="E89" s="1594"/>
      <c r="F89" s="1594"/>
      <c r="G89" s="1594"/>
      <c r="H89" s="1594"/>
      <c r="I89" s="1595"/>
      <c r="J89" s="583" t="e">
        <f>COUNTIFS(#REF!,B89,#REF!,"М")</f>
        <v>#REF!</v>
      </c>
      <c r="K89" s="583" t="e">
        <f>COUNTIFS(#REF!,B89,#REF!,"Ж")</f>
        <v>#REF!</v>
      </c>
      <c r="L89" s="583" t="e">
        <f t="shared" ref="L89:L103" si="2">J89+K89</f>
        <v>#REF!</v>
      </c>
      <c r="M89" s="1591">
        <v>1</v>
      </c>
      <c r="N89" s="1592"/>
      <c r="O89" s="583">
        <v>1</v>
      </c>
    </row>
    <row r="90" spans="1:15" s="553" customFormat="1" ht="14.25">
      <c r="A90" s="1003" t="e">
        <f>#REF!</f>
        <v>#REF!</v>
      </c>
      <c r="B90" s="1593" t="e">
        <f>#REF!</f>
        <v>#REF!</v>
      </c>
      <c r="C90" s="1594"/>
      <c r="D90" s="1594"/>
      <c r="E90" s="1594"/>
      <c r="F90" s="1594"/>
      <c r="G90" s="1594"/>
      <c r="H90" s="1594"/>
      <c r="I90" s="1595"/>
      <c r="J90" s="583" t="e">
        <f>COUNTIFS(#REF!,B90,#REF!,"М")</f>
        <v>#REF!</v>
      </c>
      <c r="K90" s="583" t="e">
        <f>COUNTIFS(#REF!,B90,#REF!,"Ж")</f>
        <v>#REF!</v>
      </c>
      <c r="L90" s="583" t="e">
        <f t="shared" si="2"/>
        <v>#REF!</v>
      </c>
      <c r="M90" s="1591">
        <v>1</v>
      </c>
      <c r="N90" s="1592"/>
      <c r="O90" s="583">
        <v>1</v>
      </c>
    </row>
    <row r="91" spans="1:15" s="553" customFormat="1" ht="14.25">
      <c r="A91" s="1003" t="e">
        <f>#REF!</f>
        <v>#REF!</v>
      </c>
      <c r="B91" s="1593" t="e">
        <f>#REF!</f>
        <v>#REF!</v>
      </c>
      <c r="C91" s="1594"/>
      <c r="D91" s="1594"/>
      <c r="E91" s="1594"/>
      <c r="F91" s="1594"/>
      <c r="G91" s="1594"/>
      <c r="H91" s="1594"/>
      <c r="I91" s="1595"/>
      <c r="J91" s="583" t="e">
        <f>COUNTIFS(#REF!,B91,#REF!,"М")</f>
        <v>#REF!</v>
      </c>
      <c r="K91" s="583" t="e">
        <f>COUNTIFS(#REF!,B91,#REF!,"Ж")</f>
        <v>#REF!</v>
      </c>
      <c r="L91" s="583" t="e">
        <f t="shared" si="2"/>
        <v>#REF!</v>
      </c>
      <c r="M91" s="1591">
        <v>1</v>
      </c>
      <c r="N91" s="1592"/>
      <c r="O91" s="583">
        <v>1</v>
      </c>
    </row>
    <row r="92" spans="1:15" s="553" customFormat="1" ht="14.25">
      <c r="A92" s="1003" t="e">
        <f>#REF!</f>
        <v>#REF!</v>
      </c>
      <c r="B92" s="1593" t="e">
        <f>#REF!</f>
        <v>#REF!</v>
      </c>
      <c r="C92" s="1594"/>
      <c r="D92" s="1594"/>
      <c r="E92" s="1594"/>
      <c r="F92" s="1594"/>
      <c r="G92" s="1594"/>
      <c r="H92" s="1594"/>
      <c r="I92" s="1595"/>
      <c r="J92" s="583" t="e">
        <f>COUNTIFS(#REF!,B92,#REF!,"М")</f>
        <v>#REF!</v>
      </c>
      <c r="K92" s="583" t="e">
        <f>COUNTIFS(#REF!,B92,#REF!,"Ж")</f>
        <v>#REF!</v>
      </c>
      <c r="L92" s="583" t="e">
        <f t="shared" si="2"/>
        <v>#REF!</v>
      </c>
      <c r="M92" s="1591">
        <v>1</v>
      </c>
      <c r="N92" s="1592"/>
      <c r="O92" s="583">
        <v>1</v>
      </c>
    </row>
    <row r="93" spans="1:15" s="553" customFormat="1" ht="14.25">
      <c r="A93" s="1003" t="e">
        <f>#REF!</f>
        <v>#REF!</v>
      </c>
      <c r="B93" s="1593" t="e">
        <f>#REF!</f>
        <v>#REF!</v>
      </c>
      <c r="C93" s="1594"/>
      <c r="D93" s="1594"/>
      <c r="E93" s="1594"/>
      <c r="F93" s="1594"/>
      <c r="G93" s="1594"/>
      <c r="H93" s="1594"/>
      <c r="I93" s="1595"/>
      <c r="J93" s="583" t="e">
        <f>COUNTIFS(#REF!,B93,#REF!,"М")</f>
        <v>#REF!</v>
      </c>
      <c r="K93" s="583" t="e">
        <f>COUNTIFS(#REF!,B93,#REF!,"Ж")</f>
        <v>#REF!</v>
      </c>
      <c r="L93" s="583" t="e">
        <f t="shared" si="2"/>
        <v>#REF!</v>
      </c>
      <c r="M93" s="1591">
        <v>1</v>
      </c>
      <c r="N93" s="1592"/>
      <c r="O93" s="583">
        <v>1</v>
      </c>
    </row>
    <row r="94" spans="1:15" s="553" customFormat="1" ht="14.25">
      <c r="A94" s="1003" t="e">
        <f>#REF!</f>
        <v>#REF!</v>
      </c>
      <c r="B94" s="1593" t="e">
        <f>#REF!</f>
        <v>#REF!</v>
      </c>
      <c r="C94" s="1594"/>
      <c r="D94" s="1594"/>
      <c r="E94" s="1594"/>
      <c r="F94" s="1594"/>
      <c r="G94" s="1594"/>
      <c r="H94" s="1594"/>
      <c r="I94" s="1595"/>
      <c r="J94" s="583" t="e">
        <f>COUNTIFS(#REF!,B94,#REF!,"М")</f>
        <v>#REF!</v>
      </c>
      <c r="K94" s="583" t="e">
        <f>COUNTIFS(#REF!,B94,#REF!,"Ж")</f>
        <v>#REF!</v>
      </c>
      <c r="L94" s="583" t="e">
        <f t="shared" si="2"/>
        <v>#REF!</v>
      </c>
      <c r="M94" s="1591">
        <v>1</v>
      </c>
      <c r="N94" s="1592"/>
      <c r="O94" s="583">
        <v>1</v>
      </c>
    </row>
    <row r="95" spans="1:15" s="553" customFormat="1" ht="14.25">
      <c r="A95" s="1003" t="e">
        <f>#REF!</f>
        <v>#REF!</v>
      </c>
      <c r="B95" s="1593" t="e">
        <f>#REF!</f>
        <v>#REF!</v>
      </c>
      <c r="C95" s="1594"/>
      <c r="D95" s="1594"/>
      <c r="E95" s="1594"/>
      <c r="F95" s="1594"/>
      <c r="G95" s="1594"/>
      <c r="H95" s="1594"/>
      <c r="I95" s="1595"/>
      <c r="J95" s="583" t="e">
        <f>COUNTIFS(#REF!,B95,#REF!,"М")</f>
        <v>#REF!</v>
      </c>
      <c r="K95" s="583" t="e">
        <f>COUNTIFS(#REF!,B95,#REF!,"Ж")</f>
        <v>#REF!</v>
      </c>
      <c r="L95" s="583" t="e">
        <f t="shared" si="2"/>
        <v>#REF!</v>
      </c>
      <c r="M95" s="1591">
        <v>1</v>
      </c>
      <c r="N95" s="1592"/>
      <c r="O95" s="583">
        <v>1</v>
      </c>
    </row>
    <row r="96" spans="1:15" s="553" customFormat="1" ht="14.25">
      <c r="A96" s="1003" t="e">
        <f>#REF!</f>
        <v>#REF!</v>
      </c>
      <c r="B96" s="1593" t="e">
        <f>#REF!</f>
        <v>#REF!</v>
      </c>
      <c r="C96" s="1594"/>
      <c r="D96" s="1594"/>
      <c r="E96" s="1594"/>
      <c r="F96" s="1594"/>
      <c r="G96" s="1594"/>
      <c r="H96" s="1594"/>
      <c r="I96" s="1595"/>
      <c r="J96" s="583" t="e">
        <f>COUNTIFS(#REF!,B96,#REF!,"М")</f>
        <v>#REF!</v>
      </c>
      <c r="K96" s="583" t="e">
        <f>COUNTIFS(#REF!,B96,#REF!,"Ж")</f>
        <v>#REF!</v>
      </c>
      <c r="L96" s="583" t="e">
        <f t="shared" si="2"/>
        <v>#REF!</v>
      </c>
      <c r="M96" s="1591">
        <v>1</v>
      </c>
      <c r="N96" s="1592"/>
      <c r="O96" s="583">
        <v>1</v>
      </c>
    </row>
    <row r="97" spans="1:15" s="553" customFormat="1" ht="14.25">
      <c r="A97" s="1003" t="e">
        <f>#REF!</f>
        <v>#REF!</v>
      </c>
      <c r="B97" s="1593" t="e">
        <f>#REF!</f>
        <v>#REF!</v>
      </c>
      <c r="C97" s="1594"/>
      <c r="D97" s="1594"/>
      <c r="E97" s="1594"/>
      <c r="F97" s="1594"/>
      <c r="G97" s="1594"/>
      <c r="H97" s="1594"/>
      <c r="I97" s="1595"/>
      <c r="J97" s="583" t="e">
        <f>COUNTIFS(#REF!,B97,#REF!,"М")</f>
        <v>#REF!</v>
      </c>
      <c r="K97" s="583" t="e">
        <f>COUNTIFS(#REF!,B97,#REF!,"Ж")</f>
        <v>#REF!</v>
      </c>
      <c r="L97" s="583" t="e">
        <f t="shared" si="2"/>
        <v>#REF!</v>
      </c>
      <c r="M97" s="1591">
        <v>1</v>
      </c>
      <c r="N97" s="1592"/>
      <c r="O97" s="583">
        <v>1</v>
      </c>
    </row>
    <row r="98" spans="1:15" s="553" customFormat="1" ht="14.25">
      <c r="A98" s="1003" t="e">
        <f>#REF!</f>
        <v>#REF!</v>
      </c>
      <c r="B98" s="1593" t="e">
        <f>#REF!</f>
        <v>#REF!</v>
      </c>
      <c r="C98" s="1594"/>
      <c r="D98" s="1594"/>
      <c r="E98" s="1594"/>
      <c r="F98" s="1594"/>
      <c r="G98" s="1594"/>
      <c r="H98" s="1594"/>
      <c r="I98" s="1595"/>
      <c r="J98" s="583" t="e">
        <f>COUNTIFS(#REF!,B98,#REF!,"М")</f>
        <v>#REF!</v>
      </c>
      <c r="K98" s="583" t="e">
        <f>COUNTIFS(#REF!,B98,#REF!,"Ж")</f>
        <v>#REF!</v>
      </c>
      <c r="L98" s="583" t="e">
        <f t="shared" si="2"/>
        <v>#REF!</v>
      </c>
      <c r="M98" s="1591">
        <v>1</v>
      </c>
      <c r="N98" s="1592"/>
      <c r="O98" s="583">
        <v>1</v>
      </c>
    </row>
    <row r="99" spans="1:15" s="553" customFormat="1" ht="14.25">
      <c r="A99" s="1003" t="e">
        <f>#REF!</f>
        <v>#REF!</v>
      </c>
      <c r="B99" s="1593" t="e">
        <f>#REF!</f>
        <v>#REF!</v>
      </c>
      <c r="C99" s="1594"/>
      <c r="D99" s="1594"/>
      <c r="E99" s="1594"/>
      <c r="F99" s="1594"/>
      <c r="G99" s="1594"/>
      <c r="H99" s="1594"/>
      <c r="I99" s="1595"/>
      <c r="J99" s="583" t="e">
        <f>COUNTIFS(#REF!,B99,#REF!,"М")</f>
        <v>#REF!</v>
      </c>
      <c r="K99" s="583" t="e">
        <f>COUNTIFS(#REF!,B99,#REF!,"Ж")</f>
        <v>#REF!</v>
      </c>
      <c r="L99" s="583" t="e">
        <f t="shared" si="2"/>
        <v>#REF!</v>
      </c>
      <c r="M99" s="1591">
        <v>1</v>
      </c>
      <c r="N99" s="1592"/>
      <c r="O99" s="583">
        <v>1</v>
      </c>
    </row>
    <row r="100" spans="1:15" s="553" customFormat="1" ht="14.25">
      <c r="A100" s="1003" t="e">
        <f>#REF!</f>
        <v>#REF!</v>
      </c>
      <c r="B100" s="1593" t="e">
        <f>#REF!</f>
        <v>#REF!</v>
      </c>
      <c r="C100" s="1594"/>
      <c r="D100" s="1594"/>
      <c r="E100" s="1594"/>
      <c r="F100" s="1594"/>
      <c r="G100" s="1594"/>
      <c r="H100" s="1594"/>
      <c r="I100" s="1595"/>
      <c r="J100" s="583" t="e">
        <f>COUNTIFS(#REF!,B100,#REF!,"М")</f>
        <v>#REF!</v>
      </c>
      <c r="K100" s="583" t="e">
        <f>COUNTIFS(#REF!,B100,#REF!,"Ж")</f>
        <v>#REF!</v>
      </c>
      <c r="L100" s="583" t="e">
        <f t="shared" si="2"/>
        <v>#REF!</v>
      </c>
      <c r="M100" s="1591">
        <v>1</v>
      </c>
      <c r="N100" s="1592"/>
      <c r="O100" s="583">
        <v>1</v>
      </c>
    </row>
    <row r="101" spans="1:15" s="553" customFormat="1" ht="14.25">
      <c r="A101" s="1003" t="e">
        <f>#REF!</f>
        <v>#REF!</v>
      </c>
      <c r="B101" s="1593" t="e">
        <f>#REF!</f>
        <v>#REF!</v>
      </c>
      <c r="C101" s="1594"/>
      <c r="D101" s="1594"/>
      <c r="E101" s="1594"/>
      <c r="F101" s="1594"/>
      <c r="G101" s="1594"/>
      <c r="H101" s="1594"/>
      <c r="I101" s="1595"/>
      <c r="J101" s="583" t="e">
        <f>COUNTIFS(#REF!,B101,#REF!,"М")</f>
        <v>#REF!</v>
      </c>
      <c r="K101" s="583" t="e">
        <f>COUNTIFS(#REF!,B101,#REF!,"Ж")</f>
        <v>#REF!</v>
      </c>
      <c r="L101" s="583" t="e">
        <f t="shared" si="2"/>
        <v>#REF!</v>
      </c>
      <c r="M101" s="1591">
        <v>1</v>
      </c>
      <c r="N101" s="1592"/>
      <c r="O101" s="583">
        <v>1</v>
      </c>
    </row>
    <row r="102" spans="1:15" s="553" customFormat="1" ht="14.25">
      <c r="A102" s="1003" t="e">
        <f>#REF!</f>
        <v>#REF!</v>
      </c>
      <c r="B102" s="1593" t="e">
        <f>#REF!</f>
        <v>#REF!</v>
      </c>
      <c r="C102" s="1594"/>
      <c r="D102" s="1594"/>
      <c r="E102" s="1594"/>
      <c r="F102" s="1594"/>
      <c r="G102" s="1594"/>
      <c r="H102" s="1594"/>
      <c r="I102" s="1595"/>
      <c r="J102" s="583" t="e">
        <f>COUNTIFS(#REF!,B102,#REF!,"М")</f>
        <v>#REF!</v>
      </c>
      <c r="K102" s="583" t="e">
        <f>COUNTIFS(#REF!,B102,#REF!,"Ж")</f>
        <v>#REF!</v>
      </c>
      <c r="L102" s="583" t="e">
        <f t="shared" si="2"/>
        <v>#REF!</v>
      </c>
      <c r="M102" s="1591">
        <v>1</v>
      </c>
      <c r="N102" s="1592"/>
      <c r="O102" s="583">
        <v>1</v>
      </c>
    </row>
    <row r="103" spans="1:15" s="553" customFormat="1" ht="14.25">
      <c r="A103" s="1003" t="e">
        <f>#REF!</f>
        <v>#REF!</v>
      </c>
      <c r="B103" s="1593" t="e">
        <f>#REF!</f>
        <v>#REF!</v>
      </c>
      <c r="C103" s="1594"/>
      <c r="D103" s="1594"/>
      <c r="E103" s="1594"/>
      <c r="F103" s="1594"/>
      <c r="G103" s="1594"/>
      <c r="H103" s="1594"/>
      <c r="I103" s="1595"/>
      <c r="J103" s="583" t="e">
        <f>COUNTIFS(#REF!,B103,#REF!,"М")</f>
        <v>#REF!</v>
      </c>
      <c r="K103" s="583" t="e">
        <f>COUNTIFS(#REF!,B103,#REF!,"Ж")</f>
        <v>#REF!</v>
      </c>
      <c r="L103" s="583" t="e">
        <f t="shared" si="2"/>
        <v>#REF!</v>
      </c>
      <c r="M103" s="1591">
        <v>1</v>
      </c>
      <c r="N103" s="1592"/>
      <c r="O103" s="583">
        <v>1</v>
      </c>
    </row>
    <row r="104" spans="1:15" s="553" customFormat="1" ht="14.25">
      <c r="A104" s="556"/>
    </row>
    <row r="105" spans="1:15" s="553" customFormat="1" ht="14.25">
      <c r="A105" s="556" t="s">
        <v>476</v>
      </c>
      <c r="B105" s="553" t="s">
        <v>477</v>
      </c>
    </row>
    <row r="106" spans="1:15" s="553" customFormat="1" ht="14.25">
      <c r="A106" s="556"/>
    </row>
    <row r="107" spans="1:15" s="553" customFormat="1" ht="16.5" customHeight="1">
      <c r="A107" s="1634" t="s">
        <v>433</v>
      </c>
      <c r="B107" s="1635"/>
      <c r="C107" s="1550" t="s">
        <v>437</v>
      </c>
      <c r="D107" s="1550"/>
      <c r="E107" s="1550"/>
      <c r="F107" s="1550"/>
      <c r="G107" s="1550"/>
      <c r="H107" s="1550"/>
      <c r="I107" s="1550"/>
      <c r="J107" s="1550"/>
      <c r="K107" s="1550"/>
      <c r="L107" s="1550"/>
      <c r="M107" s="1550"/>
      <c r="N107" s="1550"/>
      <c r="O107" s="1550" t="s">
        <v>438</v>
      </c>
    </row>
    <row r="108" spans="1:15" s="553" customFormat="1" ht="16.5" customHeight="1">
      <c r="A108" s="1636"/>
      <c r="B108" s="1637"/>
      <c r="C108" s="1550" t="s">
        <v>540</v>
      </c>
      <c r="D108" s="1550"/>
      <c r="E108" s="1639" t="s">
        <v>541</v>
      </c>
      <c r="F108" s="1639"/>
      <c r="G108" s="1550" t="s">
        <v>439</v>
      </c>
      <c r="H108" s="1550"/>
      <c r="I108" s="1550" t="s">
        <v>161</v>
      </c>
      <c r="J108" s="1550"/>
      <c r="K108" s="1550" t="s">
        <v>180</v>
      </c>
      <c r="L108" s="1550"/>
      <c r="M108" s="1550" t="s">
        <v>179</v>
      </c>
      <c r="N108" s="1550"/>
      <c r="O108" s="1550"/>
    </row>
    <row r="109" spans="1:15" s="553" customFormat="1" ht="30.75" customHeight="1">
      <c r="A109" s="1550" t="s">
        <v>440</v>
      </c>
      <c r="B109" s="1550"/>
      <c r="C109" s="1590"/>
      <c r="D109" s="1590"/>
      <c r="E109" s="1590"/>
      <c r="F109" s="1590"/>
      <c r="G109" s="1596" t="e">
        <f>COUNTIFS(#REF!,"МСМК",#REF!,"М")+COUNTIFS(#REF!,"ЗМС",#REF!,"М")</f>
        <v>#REF!</v>
      </c>
      <c r="H109" s="1590"/>
      <c r="I109" s="1596" t="e">
        <f>COUNTIFS(#REF!,"МСМК",#REF!,"Ж")+COUNTIFS(#REF!,"ЗМС",#REF!,"Ж")</f>
        <v>#REF!</v>
      </c>
      <c r="J109" s="1590"/>
      <c r="K109" s="1590" t="s">
        <v>433</v>
      </c>
      <c r="L109" s="1590"/>
      <c r="M109" s="1590"/>
      <c r="N109" s="1590"/>
      <c r="O109" s="584" t="e">
        <f>SUM(C109:N109)</f>
        <v>#REF!</v>
      </c>
    </row>
    <row r="110" spans="1:15" s="553" customFormat="1" ht="18">
      <c r="A110" s="1550" t="s">
        <v>27</v>
      </c>
      <c r="B110" s="1550"/>
      <c r="C110" s="1590"/>
      <c r="D110" s="1590"/>
      <c r="E110" s="1590"/>
      <c r="F110" s="1590"/>
      <c r="G110" s="1590" t="e">
        <f>COUNTIFS(#REF!,A110,#REF!,"М")</f>
        <v>#REF!</v>
      </c>
      <c r="H110" s="1590"/>
      <c r="I110" s="1590" t="e">
        <f>COUNTIFS(#REF!,A110,#REF!,"Ж")</f>
        <v>#REF!</v>
      </c>
      <c r="J110" s="1590"/>
      <c r="K110" s="1590"/>
      <c r="L110" s="1590"/>
      <c r="M110" s="1590"/>
      <c r="N110" s="1590"/>
      <c r="O110" s="584" t="e">
        <f t="shared" ref="O110:O116" si="3">SUM(C110:N110)</f>
        <v>#REF!</v>
      </c>
    </row>
    <row r="111" spans="1:15" s="553" customFormat="1" ht="18">
      <c r="A111" s="1550" t="s">
        <v>29</v>
      </c>
      <c r="B111" s="1550"/>
      <c r="C111" s="1590"/>
      <c r="D111" s="1590"/>
      <c r="E111" s="1590"/>
      <c r="F111" s="1590"/>
      <c r="G111" s="1590" t="e">
        <f>COUNTIFS(#REF!,A111,#REF!,"М")</f>
        <v>#REF!</v>
      </c>
      <c r="H111" s="1590"/>
      <c r="I111" s="1590" t="e">
        <f>COUNTIFS(#REF!,A111,#REF!,"Ж")</f>
        <v>#REF!</v>
      </c>
      <c r="J111" s="1590"/>
      <c r="K111" s="1590"/>
      <c r="L111" s="1590"/>
      <c r="M111" s="1590"/>
      <c r="N111" s="1590"/>
      <c r="O111" s="584" t="e">
        <f t="shared" si="3"/>
        <v>#REF!</v>
      </c>
    </row>
    <row r="112" spans="1:15" s="553" customFormat="1" ht="18">
      <c r="A112" s="1638" t="s">
        <v>1</v>
      </c>
      <c r="B112" s="1638"/>
      <c r="C112" s="1597"/>
      <c r="D112" s="1597"/>
      <c r="E112" s="1597"/>
      <c r="F112" s="1597"/>
      <c r="G112" s="1590" t="e">
        <f>COUNTIFS(#REF!,A112,#REF!,"М")</f>
        <v>#REF!</v>
      </c>
      <c r="H112" s="1590"/>
      <c r="I112" s="1590" t="e">
        <f>COUNTIFS(#REF!,A112,#REF!,"Ж")</f>
        <v>#REF!</v>
      </c>
      <c r="J112" s="1590"/>
      <c r="K112" s="1590"/>
      <c r="L112" s="1590"/>
      <c r="M112" s="1590"/>
      <c r="N112" s="1590"/>
      <c r="O112" s="584" t="e">
        <f t="shared" si="3"/>
        <v>#REF!</v>
      </c>
    </row>
    <row r="113" spans="1:17" s="553" customFormat="1" ht="18">
      <c r="A113" s="1550" t="s">
        <v>13</v>
      </c>
      <c r="B113" s="1550"/>
      <c r="C113" s="1590"/>
      <c r="D113" s="1590"/>
      <c r="E113" s="1590"/>
      <c r="F113" s="1590"/>
      <c r="G113" s="1590" t="e">
        <f>COUNTIFS(#REF!,A113,#REF!,"М")</f>
        <v>#REF!</v>
      </c>
      <c r="H113" s="1590"/>
      <c r="I113" s="1590" t="e">
        <f>COUNTIFS(#REF!,A113,#REF!,"Ж")</f>
        <v>#REF!</v>
      </c>
      <c r="J113" s="1590"/>
      <c r="K113" s="1590"/>
      <c r="L113" s="1590"/>
      <c r="M113" s="1590"/>
      <c r="N113" s="1590"/>
      <c r="O113" s="584" t="e">
        <f t="shared" si="3"/>
        <v>#REF!</v>
      </c>
    </row>
    <row r="114" spans="1:17" s="553" customFormat="1" ht="18">
      <c r="A114" s="1550" t="s">
        <v>14</v>
      </c>
      <c r="B114" s="1550"/>
      <c r="C114" s="1590"/>
      <c r="D114" s="1590"/>
      <c r="E114" s="1590"/>
      <c r="F114" s="1590"/>
      <c r="G114" s="1590" t="e">
        <f>COUNTIFS(#REF!,A114,#REF!,"М")</f>
        <v>#REF!</v>
      </c>
      <c r="H114" s="1590"/>
      <c r="I114" s="1590" t="e">
        <f>COUNTIFS(#REF!,A114,#REF!,"Ж")</f>
        <v>#REF!</v>
      </c>
      <c r="J114" s="1590"/>
      <c r="K114" s="1590"/>
      <c r="L114" s="1590"/>
      <c r="M114" s="1590"/>
      <c r="N114" s="1590"/>
      <c r="O114" s="584" t="e">
        <f t="shared" si="3"/>
        <v>#REF!</v>
      </c>
    </row>
    <row r="115" spans="1:17" s="553" customFormat="1" ht="18">
      <c r="A115" s="1550" t="s">
        <v>35</v>
      </c>
      <c r="B115" s="1550"/>
      <c r="C115" s="1590"/>
      <c r="D115" s="1590"/>
      <c r="E115" s="1590"/>
      <c r="F115" s="1590"/>
      <c r="G115" s="1590" t="e">
        <f>COUNTIFS(#REF!,A115,#REF!,"М")</f>
        <v>#REF!</v>
      </c>
      <c r="H115" s="1590"/>
      <c r="I115" s="1590" t="e">
        <f>COUNTIFS(#REF!,A115,#REF!,"Ж")</f>
        <v>#REF!</v>
      </c>
      <c r="J115" s="1590"/>
      <c r="K115" s="1590"/>
      <c r="L115" s="1590"/>
      <c r="M115" s="1590"/>
      <c r="N115" s="1590"/>
      <c r="O115" s="584" t="e">
        <f t="shared" si="3"/>
        <v>#REF!</v>
      </c>
    </row>
    <row r="116" spans="1:17" s="553" customFormat="1" ht="18">
      <c r="A116" s="1550" t="s">
        <v>10</v>
      </c>
      <c r="B116" s="1550"/>
      <c r="C116" s="1590"/>
      <c r="D116" s="1590"/>
      <c r="E116" s="1590"/>
      <c r="F116" s="1590"/>
      <c r="G116" s="1590" t="e">
        <f>COUNTIFS(#REF!,A116,#REF!,"М")</f>
        <v>#REF!</v>
      </c>
      <c r="H116" s="1590"/>
      <c r="I116" s="1590" t="e">
        <f>COUNTIFS(#REF!,A116,#REF!,"Ж")</f>
        <v>#REF!</v>
      </c>
      <c r="J116" s="1590"/>
      <c r="K116" s="1590"/>
      <c r="L116" s="1590"/>
      <c r="M116" s="1590"/>
      <c r="N116" s="1590"/>
      <c r="O116" s="584" t="e">
        <f t="shared" si="3"/>
        <v>#REF!</v>
      </c>
    </row>
    <row r="117" spans="1:17" s="553" customFormat="1" ht="14.25">
      <c r="A117" s="561"/>
      <c r="B117" s="561"/>
      <c r="C117" s="561"/>
      <c r="D117" s="561"/>
      <c r="E117" s="561"/>
      <c r="F117" s="561"/>
      <c r="G117" s="561"/>
      <c r="H117" s="561"/>
      <c r="I117" s="561"/>
      <c r="J117" s="561"/>
      <c r="K117" s="561"/>
      <c r="L117" s="561"/>
      <c r="M117" s="561"/>
      <c r="N117" s="561"/>
      <c r="O117" s="561"/>
      <c r="P117" s="561"/>
      <c r="Q117" s="561"/>
    </row>
    <row r="118" spans="1:17" s="553" customFormat="1" ht="14.25">
      <c r="A118" s="556" t="s">
        <v>478</v>
      </c>
      <c r="B118" s="553" t="s">
        <v>479</v>
      </c>
    </row>
    <row r="119" spans="1:17" s="553" customFormat="1" ht="14.25">
      <c r="A119" s="556" t="s">
        <v>480</v>
      </c>
      <c r="E119" s="563"/>
      <c r="F119" s="553" t="s">
        <v>481</v>
      </c>
      <c r="J119" s="563"/>
      <c r="K119" s="553" t="s">
        <v>482</v>
      </c>
      <c r="M119" s="563"/>
      <c r="N119" s="553" t="s">
        <v>483</v>
      </c>
    </row>
    <row r="120" spans="1:17" s="553" customFormat="1" ht="14.25">
      <c r="A120" s="556" t="s">
        <v>484</v>
      </c>
      <c r="F120" s="563"/>
      <c r="G120" s="553" t="s">
        <v>485</v>
      </c>
      <c r="J120" s="565"/>
      <c r="K120" s="553" t="s">
        <v>486</v>
      </c>
      <c r="N120" s="563"/>
      <c r="O120" s="553" t="s">
        <v>487</v>
      </c>
    </row>
    <row r="121" spans="1:17" s="553" customFormat="1" ht="14.25">
      <c r="A121" s="556" t="s">
        <v>488</v>
      </c>
      <c r="E121" s="563"/>
      <c r="F121" s="553" t="s">
        <v>489</v>
      </c>
      <c r="J121" s="565"/>
      <c r="K121" s="553" t="s">
        <v>490</v>
      </c>
      <c r="M121" s="563"/>
      <c r="N121" s="553" t="s">
        <v>483</v>
      </c>
    </row>
    <row r="122" spans="1:17" s="553" customFormat="1" ht="14.25">
      <c r="A122" s="556" t="s">
        <v>491</v>
      </c>
      <c r="E122" s="565"/>
      <c r="F122" s="553" t="s">
        <v>493</v>
      </c>
    </row>
    <row r="123" spans="1:17" s="553" customFormat="1" ht="14.25">
      <c r="A123" s="556"/>
    </row>
    <row r="124" spans="1:17" s="553" customFormat="1" ht="14.25">
      <c r="A124" s="556"/>
    </row>
    <row r="125" spans="1:17" s="553" customFormat="1" ht="14.25">
      <c r="A125" s="556" t="s">
        <v>472</v>
      </c>
      <c r="B125" s="553" t="s">
        <v>492</v>
      </c>
    </row>
    <row r="126" spans="1:17" s="553" customFormat="1" ht="14.25">
      <c r="A126" s="556" t="s">
        <v>494</v>
      </c>
      <c r="C126" s="563"/>
      <c r="D126" s="553" t="s">
        <v>495</v>
      </c>
      <c r="F126" s="563"/>
      <c r="G126" s="553" t="s">
        <v>496</v>
      </c>
      <c r="H126" s="563"/>
      <c r="I126" s="553" t="s">
        <v>497</v>
      </c>
      <c r="M126" s="563"/>
      <c r="N126" s="553" t="s">
        <v>493</v>
      </c>
    </row>
    <row r="127" spans="1:17" s="553" customFormat="1" ht="14.25">
      <c r="B127" s="556" t="s">
        <v>447</v>
      </c>
    </row>
    <row r="128" spans="1:17" s="553" customFormat="1" ht="14.25">
      <c r="A128" s="554"/>
    </row>
    <row r="129" spans="1:17" s="553" customFormat="1" ht="15" customHeight="1">
      <c r="A129" s="553" t="s">
        <v>471</v>
      </c>
      <c r="B129" s="83" t="s">
        <v>499</v>
      </c>
      <c r="C129" s="83"/>
      <c r="D129" s="83"/>
      <c r="E129" s="83"/>
      <c r="F129" s="83"/>
      <c r="G129" s="83"/>
      <c r="H129" s="83"/>
      <c r="I129" s="83"/>
      <c r="J129" s="83"/>
      <c r="K129" s="83"/>
      <c r="L129" s="83"/>
      <c r="M129" s="83"/>
      <c r="N129" s="83"/>
      <c r="O129" s="83"/>
    </row>
    <row r="130" spans="1:17" s="553" customFormat="1" ht="14.25">
      <c r="B130" s="1589" t="s">
        <v>25</v>
      </c>
      <c r="C130" s="1589"/>
      <c r="D130" s="598" t="e">
        <f>#REF!</f>
        <v>#REF!</v>
      </c>
      <c r="E130" s="553" t="s">
        <v>27</v>
      </c>
      <c r="F130" s="598" t="e">
        <f>#REF!</f>
        <v>#REF!</v>
      </c>
      <c r="G130" s="1589" t="s">
        <v>29</v>
      </c>
      <c r="H130" s="1589"/>
      <c r="I130" s="782" t="e">
        <f>#REF!</f>
        <v>#REF!</v>
      </c>
      <c r="J130" s="1589" t="s">
        <v>467</v>
      </c>
      <c r="K130" s="1589"/>
      <c r="L130" s="598" t="e">
        <f>#REF!</f>
        <v>#REF!</v>
      </c>
      <c r="M130" s="1589" t="s">
        <v>468</v>
      </c>
      <c r="N130" s="1589"/>
      <c r="O130" s="598" t="e">
        <f>#REF!</f>
        <v>#REF!</v>
      </c>
    </row>
    <row r="131" spans="1:17" s="553" customFormat="1" ht="14.25">
      <c r="A131" s="554"/>
      <c r="B131" s="1589" t="s">
        <v>469</v>
      </c>
      <c r="C131" s="1589"/>
      <c r="D131" s="599" t="e">
        <f>#REF!</f>
        <v>#REF!</v>
      </c>
      <c r="E131" s="1589" t="s">
        <v>470</v>
      </c>
      <c r="F131" s="1589"/>
      <c r="G131" s="1589"/>
      <c r="H131" s="1589"/>
      <c r="I131" s="783" t="e">
        <f>#REF!</f>
        <v>#REF!</v>
      </c>
    </row>
    <row r="132" spans="1:17" s="553" customFormat="1" ht="14.25">
      <c r="A132" s="556"/>
    </row>
    <row r="133" spans="1:17" s="553" customFormat="1" ht="14.25">
      <c r="A133" s="556" t="s">
        <v>498</v>
      </c>
      <c r="B133" s="553" t="s">
        <v>500</v>
      </c>
    </row>
    <row r="134" spans="1:17" s="553" customFormat="1" ht="15" thickBot="1">
      <c r="A134" s="556"/>
    </row>
    <row r="135" spans="1:17" s="553" customFormat="1" ht="40.5" customHeight="1">
      <c r="A135" s="1598" t="s">
        <v>501</v>
      </c>
      <c r="B135" s="1600" t="s">
        <v>1029</v>
      </c>
      <c r="C135" s="1601"/>
      <c r="D135" s="1601"/>
      <c r="E135" s="1601"/>
      <c r="F135" s="1601"/>
      <c r="G135" s="1601"/>
      <c r="H135" s="1601"/>
      <c r="I135" s="1602"/>
      <c r="J135" s="1603" t="s">
        <v>1029</v>
      </c>
      <c r="K135" s="1604"/>
      <c r="L135" s="1604"/>
      <c r="M135" s="1604"/>
      <c r="N135" s="1604"/>
      <c r="O135" s="1604"/>
      <c r="P135" s="1604"/>
      <c r="Q135" s="1605"/>
    </row>
    <row r="136" spans="1:17" s="553" customFormat="1" ht="40.5" customHeight="1" thickBot="1">
      <c r="A136" s="1599"/>
      <c r="B136" s="1606" t="s">
        <v>441</v>
      </c>
      <c r="C136" s="1607"/>
      <c r="D136" s="1607"/>
      <c r="E136" s="1607"/>
      <c r="F136" s="1607" t="s">
        <v>6</v>
      </c>
      <c r="G136" s="1607"/>
      <c r="H136" s="1607"/>
      <c r="I136" s="1608"/>
      <c r="J136" s="1606" t="s">
        <v>441</v>
      </c>
      <c r="K136" s="1607"/>
      <c r="L136" s="1607"/>
      <c r="M136" s="1607"/>
      <c r="N136" s="1609" t="s">
        <v>6</v>
      </c>
      <c r="O136" s="1610"/>
      <c r="P136" s="1610"/>
      <c r="Q136" s="1611"/>
    </row>
    <row r="137" spans="1:17" s="785" customFormat="1" ht="30" customHeight="1">
      <c r="A137" s="784"/>
      <c r="B137" s="1612" t="s">
        <v>1030</v>
      </c>
      <c r="C137" s="1613"/>
      <c r="D137" s="1613"/>
      <c r="E137" s="1613"/>
      <c r="F137" s="1613"/>
      <c r="G137" s="1613"/>
      <c r="H137" s="1613"/>
      <c r="I137" s="1614"/>
      <c r="J137" s="1615" t="s">
        <v>1031</v>
      </c>
      <c r="K137" s="1616"/>
      <c r="L137" s="1616"/>
      <c r="M137" s="1616"/>
      <c r="N137" s="1616"/>
      <c r="O137" s="1616"/>
      <c r="P137" s="1616"/>
      <c r="Q137" s="1617"/>
    </row>
    <row r="138" spans="1:17" s="561" customFormat="1" ht="15.75" customHeight="1">
      <c r="A138" s="786">
        <v>1</v>
      </c>
      <c r="B138" s="796" t="s">
        <v>1004</v>
      </c>
      <c r="C138" s="826"/>
      <c r="D138" s="826"/>
      <c r="E138" s="826"/>
      <c r="F138" s="827" t="s">
        <v>990</v>
      </c>
      <c r="G138" s="827"/>
      <c r="H138" s="827"/>
      <c r="I138" s="828"/>
      <c r="J138" s="829" t="s">
        <v>997</v>
      </c>
      <c r="K138" s="813"/>
      <c r="L138" s="813"/>
      <c r="M138" s="830"/>
      <c r="N138" s="831" t="s">
        <v>990</v>
      </c>
      <c r="O138" s="832"/>
      <c r="P138" s="832"/>
      <c r="Q138" s="833"/>
    </row>
    <row r="139" spans="1:17" s="561" customFormat="1" ht="15.75" customHeight="1">
      <c r="A139" s="786">
        <v>2</v>
      </c>
      <c r="B139" s="796" t="s">
        <v>1023</v>
      </c>
      <c r="C139" s="826"/>
      <c r="D139" s="826"/>
      <c r="E139" s="826"/>
      <c r="F139" s="826" t="s">
        <v>988</v>
      </c>
      <c r="G139" s="826"/>
      <c r="H139" s="826"/>
      <c r="I139" s="834"/>
      <c r="J139" s="794" t="s">
        <v>1012</v>
      </c>
      <c r="K139" s="795"/>
      <c r="L139" s="795"/>
      <c r="M139" s="796"/>
      <c r="N139" s="675" t="s">
        <v>553</v>
      </c>
      <c r="O139" s="813"/>
      <c r="P139" s="813"/>
      <c r="Q139" s="814"/>
    </row>
    <row r="140" spans="1:17" s="561" customFormat="1" ht="15.75" customHeight="1">
      <c r="A140" s="786">
        <v>3</v>
      </c>
      <c r="B140" s="796" t="s">
        <v>1025</v>
      </c>
      <c r="C140" s="826"/>
      <c r="D140" s="826"/>
      <c r="E140" s="826"/>
      <c r="F140" s="826" t="s">
        <v>988</v>
      </c>
      <c r="G140" s="826"/>
      <c r="H140" s="826"/>
      <c r="I140" s="834"/>
      <c r="J140" s="794" t="s">
        <v>1020</v>
      </c>
      <c r="K140" s="795"/>
      <c r="L140" s="795"/>
      <c r="M140" s="796"/>
      <c r="N140" s="798" t="s">
        <v>988</v>
      </c>
      <c r="O140" s="795"/>
      <c r="P140" s="795"/>
      <c r="Q140" s="812"/>
    </row>
    <row r="141" spans="1:17" s="561" customFormat="1" ht="25.5" customHeight="1">
      <c r="A141" s="787"/>
      <c r="B141" s="1640" t="s">
        <v>1032</v>
      </c>
      <c r="C141" s="1641"/>
      <c r="D141" s="1641"/>
      <c r="E141" s="1641"/>
      <c r="F141" s="1641"/>
      <c r="G141" s="1641"/>
      <c r="H141" s="1641"/>
      <c r="I141" s="1642"/>
      <c r="J141" s="1615" t="s">
        <v>1033</v>
      </c>
      <c r="K141" s="1616"/>
      <c r="L141" s="1616"/>
      <c r="M141" s="1616"/>
      <c r="N141" s="1616"/>
      <c r="O141" s="1616"/>
      <c r="P141" s="1616"/>
      <c r="Q141" s="1617"/>
    </row>
    <row r="142" spans="1:17" s="561" customFormat="1" ht="15.75" customHeight="1">
      <c r="A142" s="786">
        <v>1</v>
      </c>
      <c r="B142" s="795" t="s">
        <v>1011</v>
      </c>
      <c r="C142" s="795"/>
      <c r="D142" s="795"/>
      <c r="E142" s="796"/>
      <c r="F142" s="675" t="s">
        <v>553</v>
      </c>
      <c r="G142" s="813"/>
      <c r="H142" s="813"/>
      <c r="I142" s="814"/>
      <c r="J142" s="794" t="s">
        <v>996</v>
      </c>
      <c r="K142" s="795"/>
      <c r="L142" s="795"/>
      <c r="M142" s="796"/>
      <c r="N142" s="798" t="s">
        <v>991</v>
      </c>
      <c r="O142" s="795"/>
      <c r="P142" s="795"/>
      <c r="Q142" s="812"/>
    </row>
    <row r="143" spans="1:17" s="561" customFormat="1" ht="15.75" customHeight="1">
      <c r="A143" s="786">
        <v>2</v>
      </c>
      <c r="B143" s="795" t="s">
        <v>1020</v>
      </c>
      <c r="C143" s="795"/>
      <c r="D143" s="795"/>
      <c r="E143" s="796"/>
      <c r="F143" s="798" t="s">
        <v>988</v>
      </c>
      <c r="G143" s="795"/>
      <c r="H143" s="795"/>
      <c r="I143" s="812"/>
      <c r="J143" s="794" t="s">
        <v>995</v>
      </c>
      <c r="K143" s="795"/>
      <c r="L143" s="795"/>
      <c r="M143" s="796"/>
      <c r="N143" s="798" t="s">
        <v>991</v>
      </c>
      <c r="O143" s="795"/>
      <c r="P143" s="795"/>
      <c r="Q143" s="812"/>
    </row>
    <row r="144" spans="1:17" s="561" customFormat="1" ht="15.75" customHeight="1">
      <c r="A144" s="786">
        <v>3</v>
      </c>
      <c r="B144" s="813" t="s">
        <v>997</v>
      </c>
      <c r="C144" s="813"/>
      <c r="D144" s="813"/>
      <c r="E144" s="830"/>
      <c r="F144" s="675" t="s">
        <v>990</v>
      </c>
      <c r="G144" s="813"/>
      <c r="H144" s="813"/>
      <c r="I144" s="814"/>
      <c r="J144" s="794" t="s">
        <v>1015</v>
      </c>
      <c r="K144" s="795"/>
      <c r="L144" s="795"/>
      <c r="M144" s="796"/>
      <c r="N144" s="675" t="s">
        <v>553</v>
      </c>
      <c r="O144" s="813"/>
      <c r="P144" s="813"/>
      <c r="Q144" s="814"/>
    </row>
    <row r="145" spans="1:17" s="561" customFormat="1" ht="29.25" customHeight="1">
      <c r="A145" s="787"/>
      <c r="B145" s="1616" t="s">
        <v>1034</v>
      </c>
      <c r="C145" s="1616"/>
      <c r="D145" s="1616"/>
      <c r="E145" s="1616"/>
      <c r="F145" s="1616"/>
      <c r="G145" s="1616"/>
      <c r="H145" s="1616"/>
      <c r="I145" s="1617"/>
      <c r="J145" s="1615" t="s">
        <v>1035</v>
      </c>
      <c r="K145" s="1616"/>
      <c r="L145" s="1616"/>
      <c r="M145" s="1616"/>
      <c r="N145" s="1616"/>
      <c r="O145" s="1616"/>
      <c r="P145" s="1616"/>
      <c r="Q145" s="1617"/>
    </row>
    <row r="146" spans="1:17" s="561" customFormat="1" ht="15.75" customHeight="1">
      <c r="A146" s="786">
        <v>1</v>
      </c>
      <c r="B146" s="815" t="s">
        <v>996</v>
      </c>
      <c r="C146" s="815"/>
      <c r="D146" s="815"/>
      <c r="E146" s="835"/>
      <c r="F146" s="798" t="s">
        <v>991</v>
      </c>
      <c r="G146" s="795"/>
      <c r="H146" s="795"/>
      <c r="I146" s="812"/>
      <c r="J146" s="790" t="s">
        <v>993</v>
      </c>
      <c r="K146" s="791"/>
      <c r="L146" s="791"/>
      <c r="M146" s="792"/>
      <c r="N146" s="793" t="s">
        <v>992</v>
      </c>
      <c r="O146" s="791"/>
      <c r="P146" s="791"/>
      <c r="Q146" s="811"/>
    </row>
    <row r="147" spans="1:17" s="561" customFormat="1" ht="15.75" customHeight="1">
      <c r="A147" s="786">
        <v>2</v>
      </c>
      <c r="B147" s="795" t="s">
        <v>995</v>
      </c>
      <c r="C147" s="795"/>
      <c r="D147" s="795"/>
      <c r="E147" s="796"/>
      <c r="F147" s="798" t="s">
        <v>991</v>
      </c>
      <c r="G147" s="795"/>
      <c r="H147" s="795"/>
      <c r="I147" s="812"/>
      <c r="J147" s="794" t="s">
        <v>1019</v>
      </c>
      <c r="K147" s="795"/>
      <c r="L147" s="795"/>
      <c r="M147" s="796"/>
      <c r="N147" s="798" t="s">
        <v>988</v>
      </c>
      <c r="O147" s="795"/>
      <c r="P147" s="795"/>
      <c r="Q147" s="812"/>
    </row>
    <row r="148" spans="1:17" s="561" customFormat="1" ht="15.75" customHeight="1">
      <c r="A148" s="786">
        <v>3</v>
      </c>
      <c r="B148" s="795" t="s">
        <v>1015</v>
      </c>
      <c r="C148" s="795"/>
      <c r="D148" s="795"/>
      <c r="E148" s="796"/>
      <c r="F148" s="675" t="s">
        <v>553</v>
      </c>
      <c r="G148" s="813"/>
      <c r="H148" s="813"/>
      <c r="I148" s="814"/>
      <c r="J148" s="790" t="s">
        <v>994</v>
      </c>
      <c r="K148" s="791"/>
      <c r="L148" s="791"/>
      <c r="M148" s="792"/>
      <c r="N148" s="793" t="s">
        <v>992</v>
      </c>
      <c r="O148" s="791"/>
      <c r="P148" s="791"/>
      <c r="Q148" s="811"/>
    </row>
    <row r="149" spans="1:17" s="561" customFormat="1" ht="40.5" customHeight="1">
      <c r="A149" s="787"/>
      <c r="B149" s="1616" t="s">
        <v>1036</v>
      </c>
      <c r="C149" s="1616"/>
      <c r="D149" s="1616"/>
      <c r="E149" s="1616"/>
      <c r="F149" s="1616"/>
      <c r="G149" s="1616"/>
      <c r="H149" s="1616"/>
      <c r="I149" s="1617"/>
      <c r="J149" s="1615" t="s">
        <v>1037</v>
      </c>
      <c r="K149" s="1616"/>
      <c r="L149" s="1616"/>
      <c r="M149" s="1616"/>
      <c r="N149" s="1616"/>
      <c r="O149" s="1616"/>
      <c r="P149" s="1616"/>
      <c r="Q149" s="1617"/>
    </row>
    <row r="150" spans="1:17" s="561" customFormat="1" ht="15.75" customHeight="1">
      <c r="A150" s="786">
        <v>1</v>
      </c>
      <c r="B150" s="795" t="s">
        <v>1019</v>
      </c>
      <c r="C150" s="795"/>
      <c r="D150" s="795"/>
      <c r="E150" s="796"/>
      <c r="F150" s="798" t="s">
        <v>988</v>
      </c>
      <c r="G150" s="795"/>
      <c r="H150" s="795"/>
      <c r="I150" s="812"/>
      <c r="J150" s="794" t="s">
        <v>1023</v>
      </c>
      <c r="K150" s="795"/>
      <c r="L150" s="795"/>
      <c r="M150" s="796"/>
      <c r="N150" s="798" t="s">
        <v>988</v>
      </c>
      <c r="O150" s="795"/>
      <c r="P150" s="795"/>
      <c r="Q150" s="812"/>
    </row>
    <row r="151" spans="1:17" s="561" customFormat="1" ht="15.75" customHeight="1">
      <c r="A151" s="786">
        <v>2</v>
      </c>
      <c r="B151" s="795" t="s">
        <v>993</v>
      </c>
      <c r="C151" s="795"/>
      <c r="D151" s="795"/>
      <c r="E151" s="796"/>
      <c r="F151" s="793" t="s">
        <v>992</v>
      </c>
      <c r="G151" s="791"/>
      <c r="H151" s="791"/>
      <c r="I151" s="811"/>
      <c r="J151" s="794" t="s">
        <v>1004</v>
      </c>
      <c r="K151" s="795"/>
      <c r="L151" s="795"/>
      <c r="M151" s="796"/>
      <c r="N151" s="831" t="s">
        <v>990</v>
      </c>
      <c r="O151" s="832"/>
      <c r="P151" s="832"/>
      <c r="Q151" s="833"/>
    </row>
    <row r="152" spans="1:17" s="561" customFormat="1" ht="15.75" customHeight="1">
      <c r="A152" s="786">
        <v>3</v>
      </c>
      <c r="B152" s="795" t="s">
        <v>1010</v>
      </c>
      <c r="C152" s="795"/>
      <c r="D152" s="795"/>
      <c r="E152" s="796"/>
      <c r="F152" s="675" t="s">
        <v>553</v>
      </c>
      <c r="G152" s="813"/>
      <c r="H152" s="813"/>
      <c r="I152" s="814"/>
      <c r="J152" s="794" t="s">
        <v>1016</v>
      </c>
      <c r="K152" s="795"/>
      <c r="L152" s="795"/>
      <c r="M152" s="796"/>
      <c r="N152" s="675" t="s">
        <v>553</v>
      </c>
      <c r="O152" s="813"/>
      <c r="P152" s="813"/>
      <c r="Q152" s="814"/>
    </row>
    <row r="153" spans="1:17" s="561" customFormat="1" ht="27" customHeight="1">
      <c r="A153" s="787"/>
      <c r="B153" s="1616" t="s">
        <v>1038</v>
      </c>
      <c r="C153" s="1616"/>
      <c r="D153" s="1616"/>
      <c r="E153" s="1616"/>
      <c r="F153" s="1616"/>
      <c r="G153" s="1616"/>
      <c r="H153" s="1616"/>
      <c r="I153" s="1617"/>
      <c r="J153" s="1615" t="s">
        <v>1039</v>
      </c>
      <c r="K153" s="1616"/>
      <c r="L153" s="1616"/>
      <c r="M153" s="1616"/>
      <c r="N153" s="1616"/>
      <c r="O153" s="1616"/>
      <c r="P153" s="1616"/>
      <c r="Q153" s="1617"/>
    </row>
    <row r="154" spans="1:17" s="561" customFormat="1" ht="15.75" customHeight="1">
      <c r="A154" s="786">
        <v>1</v>
      </c>
      <c r="B154" s="795" t="s">
        <v>1004</v>
      </c>
      <c r="C154" s="795"/>
      <c r="D154" s="795"/>
      <c r="E154" s="796"/>
      <c r="F154" s="675" t="s">
        <v>990</v>
      </c>
      <c r="G154" s="813"/>
      <c r="H154" s="813"/>
      <c r="I154" s="814"/>
      <c r="J154" s="794" t="s">
        <v>1012</v>
      </c>
      <c r="K154" s="795"/>
      <c r="L154" s="795"/>
      <c r="M154" s="796"/>
      <c r="N154" s="675" t="s">
        <v>553</v>
      </c>
      <c r="O154" s="813"/>
      <c r="P154" s="813"/>
      <c r="Q154" s="814"/>
    </row>
    <row r="155" spans="1:17" s="561" customFormat="1" ht="15.75" customHeight="1">
      <c r="A155" s="786">
        <v>2</v>
      </c>
      <c r="B155" s="795" t="s">
        <v>1023</v>
      </c>
      <c r="C155" s="795"/>
      <c r="D155" s="795"/>
      <c r="E155" s="796"/>
      <c r="F155" s="798" t="s">
        <v>988</v>
      </c>
      <c r="G155" s="795"/>
      <c r="H155" s="795"/>
      <c r="I155" s="812"/>
      <c r="J155" s="829" t="s">
        <v>997</v>
      </c>
      <c r="K155" s="813"/>
      <c r="L155" s="813"/>
      <c r="M155" s="830"/>
      <c r="N155" s="831" t="s">
        <v>990</v>
      </c>
      <c r="O155" s="832"/>
      <c r="P155" s="832"/>
      <c r="Q155" s="833"/>
    </row>
    <row r="156" spans="1:17" s="561" customFormat="1" ht="15.75" customHeight="1">
      <c r="A156" s="786">
        <v>3</v>
      </c>
      <c r="B156" s="795" t="s">
        <v>1017</v>
      </c>
      <c r="C156" s="795"/>
      <c r="D156" s="795"/>
      <c r="E156" s="796"/>
      <c r="F156" s="675" t="s">
        <v>553</v>
      </c>
      <c r="G156" s="813"/>
      <c r="H156" s="813"/>
      <c r="I156" s="814"/>
      <c r="J156" s="794" t="s">
        <v>1011</v>
      </c>
      <c r="K156" s="795"/>
      <c r="L156" s="795"/>
      <c r="M156" s="796"/>
      <c r="N156" s="675" t="s">
        <v>553</v>
      </c>
      <c r="O156" s="813"/>
      <c r="P156" s="813"/>
      <c r="Q156" s="814"/>
    </row>
    <row r="157" spans="1:17" s="561" customFormat="1" ht="40.5" customHeight="1">
      <c r="A157" s="787"/>
      <c r="B157" s="1616" t="s">
        <v>1040</v>
      </c>
      <c r="C157" s="1616"/>
      <c r="D157" s="1616"/>
      <c r="E157" s="1616"/>
      <c r="F157" s="1616"/>
      <c r="G157" s="1616"/>
      <c r="H157" s="1616"/>
      <c r="I157" s="1617"/>
      <c r="J157" s="1615" t="s">
        <v>1041</v>
      </c>
      <c r="K157" s="1616"/>
      <c r="L157" s="1616"/>
      <c r="M157" s="1616"/>
      <c r="N157" s="1616"/>
      <c r="O157" s="1616"/>
      <c r="P157" s="1616"/>
      <c r="Q157" s="1617"/>
    </row>
    <row r="158" spans="1:17" s="561" customFormat="1" ht="15.75" customHeight="1">
      <c r="A158" s="786">
        <v>1</v>
      </c>
      <c r="B158" s="795" t="s">
        <v>1010</v>
      </c>
      <c r="C158" s="795"/>
      <c r="D158" s="795"/>
      <c r="E158" s="796"/>
      <c r="F158" s="675" t="s">
        <v>553</v>
      </c>
      <c r="G158" s="813"/>
      <c r="H158" s="813"/>
      <c r="I158" s="814"/>
      <c r="J158" s="836" t="s">
        <v>996</v>
      </c>
      <c r="K158" s="815"/>
      <c r="L158" s="815"/>
      <c r="M158" s="835"/>
      <c r="N158" s="798" t="s">
        <v>991</v>
      </c>
      <c r="O158" s="795"/>
      <c r="P158" s="795"/>
      <c r="Q158" s="812"/>
    </row>
    <row r="159" spans="1:17" s="561" customFormat="1" ht="15.75" customHeight="1">
      <c r="A159" s="786">
        <v>2</v>
      </c>
      <c r="B159" s="813" t="s">
        <v>997</v>
      </c>
      <c r="C159" s="813"/>
      <c r="D159" s="813"/>
      <c r="E159" s="830"/>
      <c r="F159" s="675" t="s">
        <v>990</v>
      </c>
      <c r="G159" s="813"/>
      <c r="H159" s="813"/>
      <c r="I159" s="814"/>
      <c r="J159" s="794" t="s">
        <v>995</v>
      </c>
      <c r="K159" s="795"/>
      <c r="L159" s="795"/>
      <c r="M159" s="796"/>
      <c r="N159" s="798" t="s">
        <v>991</v>
      </c>
      <c r="O159" s="795"/>
      <c r="P159" s="795"/>
      <c r="Q159" s="812"/>
    </row>
    <row r="160" spans="1:17" s="561" customFormat="1" ht="15.75" customHeight="1">
      <c r="A160" s="786">
        <v>3</v>
      </c>
      <c r="B160" s="795" t="s">
        <v>1011</v>
      </c>
      <c r="C160" s="795"/>
      <c r="D160" s="795"/>
      <c r="E160" s="796"/>
      <c r="F160" s="675" t="s">
        <v>553</v>
      </c>
      <c r="G160" s="813"/>
      <c r="H160" s="813"/>
      <c r="I160" s="814"/>
      <c r="J160" s="794" t="s">
        <v>1016</v>
      </c>
      <c r="K160" s="795"/>
      <c r="L160" s="795"/>
      <c r="M160" s="796"/>
      <c r="N160" s="675" t="s">
        <v>553</v>
      </c>
      <c r="O160" s="813"/>
      <c r="P160" s="813"/>
      <c r="Q160" s="814"/>
    </row>
    <row r="161" spans="1:27" s="561" customFormat="1" ht="27.75" customHeight="1">
      <c r="A161" s="788"/>
      <c r="B161" s="1624" t="s">
        <v>1042</v>
      </c>
      <c r="C161" s="1625"/>
      <c r="D161" s="1625"/>
      <c r="E161" s="1625"/>
      <c r="F161" s="1625"/>
      <c r="G161" s="1625"/>
      <c r="H161" s="1625"/>
      <c r="I161" s="1626"/>
      <c r="J161" s="1615" t="s">
        <v>1043</v>
      </c>
      <c r="K161" s="1616"/>
      <c r="L161" s="1616"/>
      <c r="M161" s="1616"/>
      <c r="N161" s="1616"/>
      <c r="O161" s="1616"/>
      <c r="P161" s="1616"/>
      <c r="Q161" s="1617"/>
    </row>
    <row r="162" spans="1:27" s="561" customFormat="1" ht="15.75" customHeight="1">
      <c r="A162" s="789">
        <v>1</v>
      </c>
      <c r="B162" s="794" t="s">
        <v>1015</v>
      </c>
      <c r="C162" s="795"/>
      <c r="D162" s="795"/>
      <c r="E162" s="796"/>
      <c r="F162" s="675" t="s">
        <v>553</v>
      </c>
      <c r="G162" s="813"/>
      <c r="H162" s="813"/>
      <c r="I162" s="814"/>
      <c r="J162" s="794" t="s">
        <v>1010</v>
      </c>
      <c r="K162" s="795"/>
      <c r="L162" s="795"/>
      <c r="M162" s="796"/>
      <c r="N162" s="675" t="s">
        <v>553</v>
      </c>
      <c r="O162" s="813"/>
      <c r="P162" s="813"/>
      <c r="Q162" s="814"/>
    </row>
    <row r="163" spans="1:27" s="561" customFormat="1" ht="15.75" customHeight="1">
      <c r="A163" s="789">
        <v>2</v>
      </c>
      <c r="B163" s="794" t="s">
        <v>1014</v>
      </c>
      <c r="C163" s="795"/>
      <c r="D163" s="795"/>
      <c r="E163" s="796"/>
      <c r="F163" s="675" t="s">
        <v>553</v>
      </c>
      <c r="G163" s="813"/>
      <c r="H163" s="813"/>
      <c r="I163" s="814"/>
      <c r="J163" s="790" t="s">
        <v>993</v>
      </c>
      <c r="K163" s="791"/>
      <c r="L163" s="791"/>
      <c r="M163" s="792"/>
      <c r="N163" s="793" t="s">
        <v>992</v>
      </c>
      <c r="O163" s="791"/>
      <c r="P163" s="791"/>
      <c r="Q163" s="811"/>
    </row>
    <row r="164" spans="1:27" s="561" customFormat="1" ht="15.75" customHeight="1">
      <c r="A164" s="789">
        <v>3</v>
      </c>
      <c r="B164" s="794" t="s">
        <v>1026</v>
      </c>
      <c r="C164" s="795"/>
      <c r="D164" s="795"/>
      <c r="E164" s="796"/>
      <c r="F164" s="798" t="s">
        <v>988</v>
      </c>
      <c r="G164" s="795"/>
      <c r="H164" s="795"/>
      <c r="I164" s="812"/>
      <c r="J164" s="794" t="s">
        <v>1019</v>
      </c>
      <c r="K164" s="795"/>
      <c r="L164" s="795"/>
      <c r="M164" s="796"/>
      <c r="N164" s="798" t="s">
        <v>988</v>
      </c>
      <c r="O164" s="795"/>
      <c r="P164" s="795"/>
      <c r="Q164" s="812"/>
    </row>
    <row r="165" spans="1:27" s="561" customFormat="1" ht="30" customHeight="1">
      <c r="A165" s="789"/>
      <c r="B165" s="1621" t="s">
        <v>1044</v>
      </c>
      <c r="C165" s="1622"/>
      <c r="D165" s="1622"/>
      <c r="E165" s="1622"/>
      <c r="F165" s="1622"/>
      <c r="G165" s="1622"/>
      <c r="H165" s="1622"/>
      <c r="I165" s="1623"/>
      <c r="J165" s="1621" t="s">
        <v>1045</v>
      </c>
      <c r="K165" s="1622"/>
      <c r="L165" s="1622"/>
      <c r="M165" s="1622"/>
      <c r="N165" s="1622"/>
      <c r="O165" s="1622"/>
      <c r="P165" s="1622"/>
      <c r="Q165" s="1623"/>
      <c r="V165" s="77"/>
      <c r="W165" s="40"/>
      <c r="X165" s="25"/>
      <c r="Y165" s="12"/>
      <c r="Z165" s="26"/>
      <c r="AA165" s="23"/>
    </row>
    <row r="166" spans="1:27" s="561" customFormat="1" ht="14.25">
      <c r="A166" s="786">
        <v>1</v>
      </c>
      <c r="B166" s="790" t="s">
        <v>1023</v>
      </c>
      <c r="C166" s="791"/>
      <c r="D166" s="791"/>
      <c r="E166" s="792"/>
      <c r="F166" s="793" t="s">
        <v>988</v>
      </c>
      <c r="G166" s="791"/>
      <c r="H166" s="791"/>
      <c r="I166" s="811"/>
      <c r="J166" s="794" t="s">
        <v>1004</v>
      </c>
      <c r="K166" s="795"/>
      <c r="L166" s="795"/>
      <c r="M166" s="796"/>
      <c r="N166" s="797" t="s">
        <v>990</v>
      </c>
      <c r="O166" s="795"/>
      <c r="P166" s="801"/>
      <c r="Q166" s="802"/>
      <c r="V166" s="77"/>
      <c r="W166" s="25"/>
      <c r="X166" s="12"/>
      <c r="AA166" s="290"/>
    </row>
    <row r="167" spans="1:27" s="561" customFormat="1" ht="14.25">
      <c r="A167" s="786">
        <v>2</v>
      </c>
      <c r="B167" s="794" t="s">
        <v>1014</v>
      </c>
      <c r="C167" s="795"/>
      <c r="D167" s="795"/>
      <c r="E167" s="796"/>
      <c r="F167" s="798" t="s">
        <v>553</v>
      </c>
      <c r="G167" s="795"/>
      <c r="H167" s="795"/>
      <c r="I167" s="812"/>
      <c r="J167" s="794" t="s">
        <v>1023</v>
      </c>
      <c r="K167" s="795"/>
      <c r="L167" s="795"/>
      <c r="M167" s="796"/>
      <c r="N167" s="798" t="s">
        <v>988</v>
      </c>
      <c r="O167" s="795"/>
      <c r="P167" s="801"/>
      <c r="Q167" s="802"/>
      <c r="V167" s="77"/>
      <c r="W167" s="25"/>
      <c r="X167" s="12"/>
      <c r="AA167" s="23"/>
    </row>
    <row r="168" spans="1:27" s="561" customFormat="1" ht="14.25">
      <c r="A168" s="786">
        <v>3</v>
      </c>
      <c r="B168" s="794" t="s">
        <v>1025</v>
      </c>
      <c r="C168" s="795"/>
      <c r="D168" s="795"/>
      <c r="E168" s="796"/>
      <c r="F168" s="798" t="s">
        <v>988</v>
      </c>
      <c r="G168" s="795"/>
      <c r="H168" s="795"/>
      <c r="I168" s="812"/>
      <c r="J168" s="794" t="s">
        <v>1003</v>
      </c>
      <c r="K168" s="795"/>
      <c r="L168" s="795"/>
      <c r="M168" s="796"/>
      <c r="N168" s="797" t="s">
        <v>990</v>
      </c>
      <c r="O168" s="795"/>
      <c r="P168" s="801"/>
      <c r="Q168" s="802"/>
      <c r="V168" s="77"/>
      <c r="W168" s="25"/>
      <c r="X168" s="12"/>
      <c r="AA168" s="290"/>
    </row>
    <row r="169" spans="1:27" s="561" customFormat="1" ht="30.75" customHeight="1">
      <c r="A169" s="788"/>
      <c r="B169" s="1621" t="s">
        <v>1046</v>
      </c>
      <c r="C169" s="1622"/>
      <c r="D169" s="1622"/>
      <c r="E169" s="1622"/>
      <c r="F169" s="1622"/>
      <c r="G169" s="1622"/>
      <c r="H169" s="1622"/>
      <c r="I169" s="1623"/>
      <c r="J169" s="1621" t="s">
        <v>1047</v>
      </c>
      <c r="K169" s="1622"/>
      <c r="L169" s="1622"/>
      <c r="M169" s="1622"/>
      <c r="N169" s="1622"/>
      <c r="O169" s="1622"/>
      <c r="P169" s="1622"/>
      <c r="Q169" s="1623"/>
      <c r="V169" s="77"/>
      <c r="W169" s="40"/>
      <c r="X169" s="25"/>
      <c r="Z169" s="290"/>
      <c r="AA169" s="26"/>
    </row>
    <row r="170" spans="1:27" s="561" customFormat="1" ht="14.25">
      <c r="A170" s="789">
        <v>1</v>
      </c>
      <c r="B170" s="794" t="s">
        <v>1011</v>
      </c>
      <c r="C170" s="795"/>
      <c r="D170" s="795"/>
      <c r="E170" s="796"/>
      <c r="F170" s="675" t="s">
        <v>553</v>
      </c>
      <c r="G170" s="813"/>
      <c r="H170" s="813"/>
      <c r="I170" s="814"/>
      <c r="J170" s="794" t="s">
        <v>1010</v>
      </c>
      <c r="K170" s="795"/>
      <c r="L170" s="795"/>
      <c r="M170" s="796"/>
      <c r="N170" s="798" t="s">
        <v>553</v>
      </c>
      <c r="O170" s="795"/>
      <c r="P170" s="801"/>
      <c r="Q170" s="802"/>
      <c r="V170" s="77"/>
      <c r="W170" s="25"/>
      <c r="X170" s="12"/>
      <c r="AA170" s="23"/>
    </row>
    <row r="171" spans="1:27" s="561" customFormat="1" ht="14.25">
      <c r="A171" s="789">
        <v>2</v>
      </c>
      <c r="B171" s="794" t="s">
        <v>1021</v>
      </c>
      <c r="C171" s="795"/>
      <c r="D171" s="795"/>
      <c r="E171" s="796"/>
      <c r="F171" s="675" t="s">
        <v>988</v>
      </c>
      <c r="G171" s="813"/>
      <c r="H171" s="813"/>
      <c r="I171" s="814"/>
      <c r="J171" s="794" t="s">
        <v>997</v>
      </c>
      <c r="K171" s="795"/>
      <c r="L171" s="795"/>
      <c r="M171" s="796"/>
      <c r="N171" s="797" t="s">
        <v>990</v>
      </c>
      <c r="O171" s="815"/>
      <c r="P171" s="816"/>
      <c r="Q171" s="817"/>
      <c r="V171" s="77"/>
      <c r="W171" s="25"/>
      <c r="X171" s="12"/>
      <c r="AA171" s="290"/>
    </row>
    <row r="172" spans="1:27" s="561" customFormat="1" ht="14.25">
      <c r="A172" s="789">
        <v>3</v>
      </c>
      <c r="B172" s="794" t="s">
        <v>1012</v>
      </c>
      <c r="C172" s="795"/>
      <c r="D172" s="795"/>
      <c r="E172" s="796"/>
      <c r="F172" s="675" t="s">
        <v>553</v>
      </c>
      <c r="G172" s="813"/>
      <c r="H172" s="813"/>
      <c r="I172" s="814"/>
      <c r="J172" s="794" t="s">
        <v>1012</v>
      </c>
      <c r="K172" s="795"/>
      <c r="L172" s="795"/>
      <c r="M172" s="796"/>
      <c r="N172" s="798" t="s">
        <v>553</v>
      </c>
      <c r="O172" s="795"/>
      <c r="P172" s="801"/>
      <c r="Q172" s="802"/>
      <c r="V172" s="77"/>
      <c r="W172" s="25"/>
      <c r="X172" s="12"/>
      <c r="AA172" s="23"/>
    </row>
    <row r="173" spans="1:27" s="553" customFormat="1" ht="50.25" customHeight="1">
      <c r="A173" s="788"/>
      <c r="B173" s="1619" t="s">
        <v>1048</v>
      </c>
      <c r="C173" s="1619"/>
      <c r="D173" s="1619"/>
      <c r="E173" s="1619"/>
      <c r="F173" s="1619"/>
      <c r="G173" s="1619"/>
      <c r="H173" s="1619"/>
      <c r="I173" s="1620"/>
      <c r="J173" s="1619" t="s">
        <v>1049</v>
      </c>
      <c r="K173" s="1619"/>
      <c r="L173" s="1619"/>
      <c r="M173" s="1619"/>
      <c r="N173" s="1619"/>
      <c r="O173" s="1619"/>
      <c r="P173" s="1619"/>
      <c r="Q173" s="1620"/>
    </row>
    <row r="174" spans="1:27" s="553" customFormat="1" ht="15.75" customHeight="1">
      <c r="A174" s="789">
        <v>1</v>
      </c>
      <c r="B174" s="795" t="s">
        <v>1015</v>
      </c>
      <c r="C174" s="795"/>
      <c r="D174" s="795"/>
      <c r="E174" s="796"/>
      <c r="F174" s="675" t="s">
        <v>553</v>
      </c>
      <c r="G174" s="813"/>
      <c r="H174" s="813"/>
      <c r="I174" s="814"/>
      <c r="J174" s="795" t="s">
        <v>1010</v>
      </c>
      <c r="K174" s="795"/>
      <c r="L174" s="795"/>
      <c r="M174" s="796"/>
      <c r="N174" s="675" t="s">
        <v>553</v>
      </c>
      <c r="O174" s="813"/>
      <c r="P174" s="813"/>
      <c r="Q174" s="814"/>
    </row>
    <row r="175" spans="1:27" s="553" customFormat="1" ht="15.75" customHeight="1">
      <c r="A175" s="789">
        <v>1</v>
      </c>
      <c r="B175" s="795" t="s">
        <v>1017</v>
      </c>
      <c r="C175" s="795"/>
      <c r="D175" s="795"/>
      <c r="E175" s="796"/>
      <c r="F175" s="675" t="s">
        <v>553</v>
      </c>
      <c r="G175" s="813"/>
      <c r="H175" s="813"/>
      <c r="I175" s="814"/>
      <c r="J175" s="795" t="s">
        <v>1013</v>
      </c>
      <c r="K175" s="795"/>
      <c r="L175" s="795"/>
      <c r="M175" s="796"/>
      <c r="N175" s="675" t="s">
        <v>553</v>
      </c>
      <c r="O175" s="813"/>
      <c r="P175" s="813"/>
      <c r="Q175" s="814"/>
    </row>
    <row r="176" spans="1:27" s="553" customFormat="1" ht="15.75" customHeight="1">
      <c r="A176" s="789">
        <v>1</v>
      </c>
      <c r="B176" s="795" t="s">
        <v>1014</v>
      </c>
      <c r="C176" s="795"/>
      <c r="D176" s="795"/>
      <c r="E176" s="796"/>
      <c r="F176" s="675" t="s">
        <v>553</v>
      </c>
      <c r="G176" s="813"/>
      <c r="H176" s="813"/>
      <c r="I176" s="814"/>
      <c r="J176" s="795" t="s">
        <v>1011</v>
      </c>
      <c r="K176" s="795"/>
      <c r="L176" s="795"/>
      <c r="M176" s="796"/>
      <c r="N176" s="675" t="s">
        <v>553</v>
      </c>
      <c r="O176" s="813"/>
      <c r="P176" s="813"/>
      <c r="Q176" s="814"/>
    </row>
    <row r="177" spans="1:24" s="553" customFormat="1" ht="15.75" customHeight="1">
      <c r="A177" s="789">
        <v>1</v>
      </c>
      <c r="B177" s="795" t="s">
        <v>1016</v>
      </c>
      <c r="C177" s="795"/>
      <c r="D177" s="795"/>
      <c r="E177" s="796"/>
      <c r="F177" s="675" t="s">
        <v>553</v>
      </c>
      <c r="G177" s="813"/>
      <c r="H177" s="813"/>
      <c r="I177" s="814"/>
      <c r="J177" s="795" t="s">
        <v>1012</v>
      </c>
      <c r="K177" s="795"/>
      <c r="L177" s="795"/>
      <c r="M177" s="796"/>
      <c r="N177" s="675" t="s">
        <v>553</v>
      </c>
      <c r="O177" s="813"/>
      <c r="P177" s="813"/>
      <c r="Q177" s="814"/>
    </row>
    <row r="178" spans="1:24" s="553" customFormat="1" ht="15.75" customHeight="1">
      <c r="A178" s="789">
        <v>2</v>
      </c>
      <c r="B178" s="791" t="s">
        <v>1025</v>
      </c>
      <c r="C178" s="791"/>
      <c r="D178" s="791"/>
      <c r="E178" s="792"/>
      <c r="F178" s="793" t="s">
        <v>988</v>
      </c>
      <c r="G178" s="791"/>
      <c r="H178" s="791"/>
      <c r="I178" s="811"/>
      <c r="J178" s="795" t="s">
        <v>1020</v>
      </c>
      <c r="K178" s="795"/>
      <c r="L178" s="795"/>
      <c r="M178" s="796"/>
      <c r="N178" s="798" t="s">
        <v>988</v>
      </c>
      <c r="O178" s="795"/>
      <c r="P178" s="795"/>
      <c r="Q178" s="812"/>
    </row>
    <row r="179" spans="1:24" s="553" customFormat="1" ht="15.75" customHeight="1">
      <c r="A179" s="789">
        <v>2</v>
      </c>
      <c r="B179" s="795" t="s">
        <v>1026</v>
      </c>
      <c r="C179" s="795"/>
      <c r="D179" s="795"/>
      <c r="E179" s="796"/>
      <c r="F179" s="798" t="s">
        <v>988</v>
      </c>
      <c r="G179" s="795"/>
      <c r="H179" s="795"/>
      <c r="I179" s="812"/>
      <c r="J179" s="795" t="s">
        <v>1019</v>
      </c>
      <c r="K179" s="795"/>
      <c r="L179" s="795"/>
      <c r="M179" s="796"/>
      <c r="N179" s="798" t="s">
        <v>988</v>
      </c>
      <c r="O179" s="795"/>
      <c r="P179" s="795"/>
      <c r="Q179" s="812"/>
    </row>
    <row r="180" spans="1:24" s="553" customFormat="1" ht="15.75" customHeight="1">
      <c r="A180" s="789">
        <v>2</v>
      </c>
      <c r="B180" s="795" t="s">
        <v>1024</v>
      </c>
      <c r="C180" s="795"/>
      <c r="D180" s="795"/>
      <c r="E180" s="796"/>
      <c r="F180" s="798" t="s">
        <v>988</v>
      </c>
      <c r="G180" s="795"/>
      <c r="H180" s="795"/>
      <c r="I180" s="812"/>
      <c r="J180" s="795" t="s">
        <v>1018</v>
      </c>
      <c r="K180" s="795"/>
      <c r="L180" s="795"/>
      <c r="M180" s="796"/>
      <c r="N180" s="798" t="s">
        <v>988</v>
      </c>
      <c r="O180" s="795"/>
      <c r="P180" s="795"/>
      <c r="Q180" s="812"/>
    </row>
    <row r="181" spans="1:24" s="553" customFormat="1" ht="15.75" customHeight="1">
      <c r="A181" s="789">
        <v>2</v>
      </c>
      <c r="B181" s="795" t="s">
        <v>1023</v>
      </c>
      <c r="C181" s="795"/>
      <c r="D181" s="795"/>
      <c r="E181" s="796"/>
      <c r="F181" s="798" t="s">
        <v>988</v>
      </c>
      <c r="G181" s="795"/>
      <c r="H181" s="795"/>
      <c r="I181" s="812"/>
      <c r="J181" s="795" t="s">
        <v>1021</v>
      </c>
      <c r="K181" s="795"/>
      <c r="L181" s="795"/>
      <c r="M181" s="796"/>
      <c r="N181" s="798" t="s">
        <v>988</v>
      </c>
      <c r="O181" s="795"/>
      <c r="P181" s="795"/>
      <c r="Q181" s="812"/>
    </row>
    <row r="182" spans="1:24" s="553" customFormat="1" ht="15.75" customHeight="1">
      <c r="A182" s="789">
        <v>3</v>
      </c>
      <c r="B182" s="795" t="s">
        <v>1004</v>
      </c>
      <c r="C182" s="795"/>
      <c r="D182" s="795"/>
      <c r="E182" s="796"/>
      <c r="F182" s="675" t="s">
        <v>990</v>
      </c>
      <c r="G182" s="813"/>
      <c r="H182" s="813"/>
      <c r="I182" s="814"/>
      <c r="J182" s="794"/>
      <c r="K182" s="795"/>
      <c r="L182" s="795"/>
      <c r="M182" s="796"/>
      <c r="N182" s="798"/>
      <c r="O182" s="795"/>
      <c r="P182" s="801"/>
      <c r="Q182" s="802"/>
    </row>
    <row r="183" spans="1:24" s="553" customFormat="1" ht="15.75" customHeight="1">
      <c r="A183" s="789">
        <v>3</v>
      </c>
      <c r="B183" s="795" t="s">
        <v>1003</v>
      </c>
      <c r="C183" s="795"/>
      <c r="D183" s="795"/>
      <c r="E183" s="796"/>
      <c r="F183" s="675" t="s">
        <v>990</v>
      </c>
      <c r="G183" s="813"/>
      <c r="H183" s="813"/>
      <c r="I183" s="814"/>
      <c r="J183" s="794"/>
      <c r="K183" s="795"/>
      <c r="L183" s="795"/>
      <c r="M183" s="796"/>
      <c r="N183" s="798"/>
      <c r="O183" s="795"/>
      <c r="P183" s="801"/>
      <c r="Q183" s="802"/>
    </row>
    <row r="184" spans="1:24" s="553" customFormat="1" ht="15.75" customHeight="1">
      <c r="A184" s="789">
        <v>3</v>
      </c>
      <c r="B184" s="795" t="s">
        <v>1001</v>
      </c>
      <c r="C184" s="795"/>
      <c r="D184" s="795"/>
      <c r="E184" s="796"/>
      <c r="F184" s="675" t="s">
        <v>990</v>
      </c>
      <c r="G184" s="813"/>
      <c r="H184" s="813"/>
      <c r="I184" s="814"/>
      <c r="J184" s="794"/>
      <c r="K184" s="795"/>
      <c r="L184" s="795"/>
      <c r="M184" s="796"/>
      <c r="N184" s="798"/>
      <c r="O184" s="795"/>
      <c r="P184" s="801"/>
      <c r="Q184" s="802"/>
    </row>
    <row r="185" spans="1:24" s="553" customFormat="1" ht="15.75" customHeight="1">
      <c r="A185" s="789">
        <v>3</v>
      </c>
      <c r="B185" s="795" t="s">
        <v>1005</v>
      </c>
      <c r="C185" s="795"/>
      <c r="D185" s="795"/>
      <c r="E185" s="796"/>
      <c r="F185" s="675" t="s">
        <v>990</v>
      </c>
      <c r="G185" s="813"/>
      <c r="H185" s="813"/>
      <c r="I185" s="814"/>
      <c r="J185" s="794"/>
      <c r="K185" s="795"/>
      <c r="L185" s="795"/>
      <c r="M185" s="796"/>
      <c r="N185" s="798"/>
      <c r="O185" s="795"/>
      <c r="P185" s="801"/>
      <c r="Q185" s="802"/>
      <c r="U185" s="16"/>
      <c r="V185" s="16"/>
      <c r="W185" s="16"/>
      <c r="X185" s="16"/>
    </row>
    <row r="186" spans="1:24" s="553" customFormat="1" ht="46.5" customHeight="1">
      <c r="A186" s="788"/>
      <c r="B186" s="1618" t="s">
        <v>1050</v>
      </c>
      <c r="C186" s="1619"/>
      <c r="D186" s="1619"/>
      <c r="E186" s="1619"/>
      <c r="F186" s="1619"/>
      <c r="G186" s="1619"/>
      <c r="H186" s="1619"/>
      <c r="I186" s="1620"/>
      <c r="J186" s="1621" t="s">
        <v>1051</v>
      </c>
      <c r="K186" s="1622"/>
      <c r="L186" s="1622"/>
      <c r="M186" s="1622"/>
      <c r="N186" s="1622"/>
      <c r="O186" s="1622"/>
      <c r="P186" s="1622"/>
      <c r="Q186" s="1623"/>
      <c r="T186" s="799"/>
      <c r="U186" s="16"/>
      <c r="V186" s="16"/>
      <c r="W186" s="16"/>
      <c r="X186" s="800"/>
    </row>
    <row r="187" spans="1:24" s="553" customFormat="1" ht="15.75" customHeight="1">
      <c r="A187" s="789">
        <v>1</v>
      </c>
      <c r="B187" s="794" t="s">
        <v>1015</v>
      </c>
      <c r="C187" s="795"/>
      <c r="D187" s="795"/>
      <c r="E187" s="796"/>
      <c r="F187" s="675" t="s">
        <v>553</v>
      </c>
      <c r="G187" s="813"/>
      <c r="H187" s="813"/>
      <c r="I187" s="814"/>
      <c r="J187" s="794" t="s">
        <v>1021</v>
      </c>
      <c r="K187" s="795"/>
      <c r="L187" s="795"/>
      <c r="M187" s="796"/>
      <c r="N187" s="798" t="s">
        <v>988</v>
      </c>
      <c r="O187" s="795"/>
      <c r="P187" s="801"/>
      <c r="Q187" s="802"/>
      <c r="T187" s="767"/>
      <c r="V187" s="12"/>
      <c r="W187" s="203"/>
      <c r="X187" s="23"/>
    </row>
    <row r="188" spans="1:24" s="553" customFormat="1" ht="15.75" customHeight="1">
      <c r="A188" s="789">
        <v>1</v>
      </c>
      <c r="B188" s="794" t="s">
        <v>1017</v>
      </c>
      <c r="C188" s="795"/>
      <c r="D188" s="795"/>
      <c r="E188" s="796"/>
      <c r="F188" s="675" t="s">
        <v>553</v>
      </c>
      <c r="G188" s="813"/>
      <c r="H188" s="813"/>
      <c r="I188" s="814"/>
      <c r="J188" s="794" t="s">
        <v>1019</v>
      </c>
      <c r="K188" s="795"/>
      <c r="L188" s="795"/>
      <c r="M188" s="796"/>
      <c r="N188" s="798" t="s">
        <v>988</v>
      </c>
      <c r="O188" s="795"/>
      <c r="P188" s="801"/>
      <c r="Q188" s="802"/>
      <c r="T188" s="767"/>
      <c r="V188" s="12"/>
      <c r="W188" s="203"/>
      <c r="X188" s="23"/>
    </row>
    <row r="189" spans="1:24" s="553" customFormat="1" ht="15.75" customHeight="1">
      <c r="A189" s="789">
        <v>1</v>
      </c>
      <c r="B189" s="794" t="s">
        <v>1016</v>
      </c>
      <c r="C189" s="795"/>
      <c r="D189" s="795"/>
      <c r="E189" s="796"/>
      <c r="F189" s="675" t="s">
        <v>553</v>
      </c>
      <c r="G189" s="813"/>
      <c r="H189" s="813"/>
      <c r="I189" s="814"/>
      <c r="J189" s="794" t="s">
        <v>1022</v>
      </c>
      <c r="K189" s="795"/>
      <c r="L189" s="795"/>
      <c r="M189" s="796"/>
      <c r="N189" s="798" t="s">
        <v>988</v>
      </c>
      <c r="O189" s="795"/>
      <c r="P189" s="801"/>
      <c r="Q189" s="802"/>
      <c r="T189" s="767"/>
      <c r="V189" s="12"/>
      <c r="W189" s="203"/>
      <c r="X189" s="23"/>
    </row>
    <row r="190" spans="1:24" s="553" customFormat="1" ht="15.75" customHeight="1">
      <c r="A190" s="789">
        <v>1</v>
      </c>
      <c r="B190" s="794" t="s">
        <v>1014</v>
      </c>
      <c r="C190" s="795"/>
      <c r="D190" s="795"/>
      <c r="E190" s="796"/>
      <c r="F190" s="675" t="s">
        <v>553</v>
      </c>
      <c r="G190" s="813"/>
      <c r="H190" s="813"/>
      <c r="I190" s="814"/>
      <c r="J190" s="794" t="s">
        <v>1020</v>
      </c>
      <c r="K190" s="795"/>
      <c r="L190" s="795"/>
      <c r="M190" s="796"/>
      <c r="N190" s="798" t="s">
        <v>988</v>
      </c>
      <c r="O190" s="795"/>
      <c r="P190" s="801"/>
      <c r="Q190" s="802"/>
      <c r="T190" s="767"/>
      <c r="V190" s="12"/>
      <c r="W190" s="203"/>
      <c r="X190" s="23"/>
    </row>
    <row r="191" spans="1:24" s="553" customFormat="1" ht="15.75" customHeight="1">
      <c r="A191" s="789">
        <v>2</v>
      </c>
      <c r="B191" s="794" t="s">
        <v>1003</v>
      </c>
      <c r="C191" s="795"/>
      <c r="D191" s="795"/>
      <c r="E191" s="796"/>
      <c r="F191" s="798" t="s">
        <v>990</v>
      </c>
      <c r="G191" s="795"/>
      <c r="H191" s="795"/>
      <c r="I191" s="812"/>
      <c r="J191" s="794" t="s">
        <v>1010</v>
      </c>
      <c r="K191" s="795"/>
      <c r="L191" s="795"/>
      <c r="M191" s="796"/>
      <c r="N191" s="798" t="s">
        <v>553</v>
      </c>
      <c r="O191" s="795"/>
      <c r="P191" s="801"/>
      <c r="Q191" s="802"/>
      <c r="T191" s="767"/>
      <c r="V191" s="12"/>
      <c r="W191" s="203"/>
      <c r="X191" s="23"/>
    </row>
    <row r="192" spans="1:24" s="553" customFormat="1" ht="15.75" customHeight="1">
      <c r="A192" s="789">
        <v>2</v>
      </c>
      <c r="B192" s="794" t="s">
        <v>1004</v>
      </c>
      <c r="C192" s="795"/>
      <c r="D192" s="795"/>
      <c r="E192" s="796"/>
      <c r="F192" s="798" t="s">
        <v>990</v>
      </c>
      <c r="G192" s="795"/>
      <c r="H192" s="795"/>
      <c r="I192" s="812"/>
      <c r="J192" s="794" t="s">
        <v>1013</v>
      </c>
      <c r="K192" s="795"/>
      <c r="L192" s="795"/>
      <c r="M192" s="796"/>
      <c r="N192" s="798" t="s">
        <v>553</v>
      </c>
      <c r="O192" s="795"/>
      <c r="P192" s="801"/>
      <c r="Q192" s="802"/>
      <c r="T192" s="767"/>
      <c r="V192" s="12"/>
      <c r="W192" s="203"/>
      <c r="X192" s="23"/>
    </row>
    <row r="193" spans="1:27" s="553" customFormat="1" ht="15.75" customHeight="1">
      <c r="A193" s="789">
        <v>2</v>
      </c>
      <c r="B193" s="794" t="s">
        <v>1001</v>
      </c>
      <c r="C193" s="795"/>
      <c r="D193" s="795"/>
      <c r="E193" s="796"/>
      <c r="F193" s="798" t="s">
        <v>990</v>
      </c>
      <c r="G193" s="795"/>
      <c r="H193" s="795"/>
      <c r="I193" s="812"/>
      <c r="J193" s="794" t="s">
        <v>1011</v>
      </c>
      <c r="K193" s="795"/>
      <c r="L193" s="795"/>
      <c r="M193" s="796"/>
      <c r="N193" s="798" t="s">
        <v>553</v>
      </c>
      <c r="O193" s="795"/>
      <c r="P193" s="801"/>
      <c r="Q193" s="802"/>
      <c r="T193" s="767"/>
      <c r="V193" s="12"/>
      <c r="W193" s="203"/>
      <c r="X193" s="23"/>
    </row>
    <row r="194" spans="1:27" s="553" customFormat="1" ht="15.75" customHeight="1">
      <c r="A194" s="789">
        <v>2</v>
      </c>
      <c r="B194" s="794" t="s">
        <v>1002</v>
      </c>
      <c r="C194" s="795"/>
      <c r="D194" s="795"/>
      <c r="E194" s="796"/>
      <c r="F194" s="798" t="s">
        <v>990</v>
      </c>
      <c r="G194" s="795"/>
      <c r="H194" s="795"/>
      <c r="I194" s="812"/>
      <c r="J194" s="794" t="s">
        <v>1012</v>
      </c>
      <c r="K194" s="795"/>
      <c r="L194" s="795"/>
      <c r="M194" s="796"/>
      <c r="N194" s="798" t="s">
        <v>553</v>
      </c>
      <c r="O194" s="795"/>
      <c r="P194" s="801"/>
      <c r="Q194" s="802"/>
      <c r="T194" s="767"/>
      <c r="U194" s="561"/>
      <c r="V194" s="12"/>
      <c r="W194" s="203"/>
      <c r="X194" s="23"/>
    </row>
    <row r="195" spans="1:27" s="561" customFormat="1" ht="15.75" customHeight="1">
      <c r="A195" s="789">
        <v>3</v>
      </c>
      <c r="B195" s="794" t="s">
        <v>1006</v>
      </c>
      <c r="C195" s="795"/>
      <c r="D195" s="795"/>
      <c r="E195" s="796"/>
      <c r="F195" s="675" t="s">
        <v>989</v>
      </c>
      <c r="G195" s="813"/>
      <c r="H195" s="813"/>
      <c r="I195" s="814"/>
      <c r="J195" s="794" t="s">
        <v>1000</v>
      </c>
      <c r="K195" s="795"/>
      <c r="L195" s="795"/>
      <c r="M195" s="796"/>
      <c r="N195" s="797" t="s">
        <v>990</v>
      </c>
      <c r="O195" s="795"/>
      <c r="P195" s="801"/>
      <c r="Q195" s="802"/>
      <c r="T195" s="767"/>
      <c r="V195" s="12"/>
      <c r="W195" s="203"/>
      <c r="X195" s="23"/>
    </row>
    <row r="196" spans="1:27" s="561" customFormat="1" ht="15.75" customHeight="1">
      <c r="A196" s="788">
        <v>3</v>
      </c>
      <c r="B196" s="818" t="s">
        <v>1008</v>
      </c>
      <c r="C196" s="819"/>
      <c r="D196" s="819"/>
      <c r="E196" s="820"/>
      <c r="F196" s="821" t="s">
        <v>989</v>
      </c>
      <c r="G196" s="819"/>
      <c r="H196" s="819"/>
      <c r="I196" s="822"/>
      <c r="J196" s="794" t="s">
        <v>998</v>
      </c>
      <c r="K196" s="795"/>
      <c r="L196" s="795"/>
      <c r="M196" s="796"/>
      <c r="N196" s="797" t="s">
        <v>990</v>
      </c>
      <c r="O196" s="795"/>
      <c r="P196" s="801"/>
      <c r="Q196" s="802"/>
      <c r="T196" s="767"/>
      <c r="V196" s="12"/>
      <c r="W196" s="203"/>
      <c r="X196" s="23"/>
      <c r="Y196" s="42"/>
      <c r="Z196" s="43"/>
      <c r="AA196" s="41"/>
    </row>
    <row r="197" spans="1:27" s="561" customFormat="1" ht="15.75" customHeight="1">
      <c r="A197" s="789">
        <v>3</v>
      </c>
      <c r="B197" s="794" t="s">
        <v>1009</v>
      </c>
      <c r="C197" s="795"/>
      <c r="D197" s="795"/>
      <c r="E197" s="796"/>
      <c r="F197" s="675" t="s">
        <v>989</v>
      </c>
      <c r="G197" s="813"/>
      <c r="H197" s="813"/>
      <c r="I197" s="814"/>
      <c r="J197" s="794" t="s">
        <v>999</v>
      </c>
      <c r="K197" s="795"/>
      <c r="L197" s="795"/>
      <c r="M197" s="796"/>
      <c r="N197" s="797" t="s">
        <v>990</v>
      </c>
      <c r="O197" s="795"/>
      <c r="P197" s="801"/>
      <c r="Q197" s="802"/>
      <c r="T197" s="767"/>
      <c r="V197" s="12"/>
      <c r="W197" s="203"/>
      <c r="X197" s="23"/>
      <c r="Y197" s="12"/>
      <c r="Z197" s="26"/>
      <c r="AA197" s="23"/>
    </row>
    <row r="198" spans="1:27" s="561" customFormat="1" ht="16.5" customHeight="1" thickBot="1">
      <c r="A198" s="803">
        <v>3</v>
      </c>
      <c r="B198" s="804" t="s">
        <v>1007</v>
      </c>
      <c r="C198" s="805"/>
      <c r="D198" s="805"/>
      <c r="E198" s="806"/>
      <c r="F198" s="823" t="s">
        <v>989</v>
      </c>
      <c r="G198" s="824"/>
      <c r="H198" s="824"/>
      <c r="I198" s="825"/>
      <c r="J198" s="804" t="s">
        <v>997</v>
      </c>
      <c r="K198" s="805"/>
      <c r="L198" s="805"/>
      <c r="M198" s="806"/>
      <c r="N198" s="807" t="s">
        <v>990</v>
      </c>
      <c r="O198" s="805"/>
      <c r="P198" s="808"/>
      <c r="Q198" s="809"/>
      <c r="T198" s="767"/>
      <c r="V198" s="12"/>
      <c r="W198" s="203"/>
      <c r="X198" s="766"/>
      <c r="Y198" s="12"/>
      <c r="Z198" s="26"/>
      <c r="AA198" s="290"/>
    </row>
    <row r="199" spans="1:27" s="553" customFormat="1" ht="14.25">
      <c r="A199" s="556"/>
    </row>
    <row r="200" spans="1:27" s="569" customFormat="1" ht="30.75" customHeight="1">
      <c r="A200" s="568" t="s">
        <v>502</v>
      </c>
      <c r="B200" s="1555" t="s">
        <v>506</v>
      </c>
      <c r="C200" s="1555"/>
      <c r="D200" s="1555"/>
      <c r="E200" s="1555"/>
      <c r="F200" s="1555"/>
      <c r="G200" s="1555"/>
      <c r="H200" s="1555"/>
      <c r="I200" s="1555"/>
      <c r="J200" s="1555"/>
      <c r="K200" s="1555"/>
      <c r="L200" s="1555"/>
      <c r="M200" s="1555"/>
      <c r="N200" s="1555"/>
      <c r="O200" s="1555"/>
    </row>
    <row r="201" spans="1:27" s="553" customFormat="1" ht="14.25">
      <c r="A201" s="554"/>
      <c r="B201" s="561"/>
      <c r="C201" s="561"/>
      <c r="D201" s="561"/>
      <c r="E201" s="561"/>
      <c r="F201" s="561"/>
      <c r="G201" s="561"/>
      <c r="H201" s="561"/>
      <c r="I201" s="561"/>
      <c r="J201" s="561"/>
      <c r="K201" s="561"/>
      <c r="L201" s="561"/>
      <c r="M201" s="561"/>
      <c r="N201" s="561"/>
      <c r="O201" s="561"/>
    </row>
    <row r="202" spans="1:27" s="553" customFormat="1" ht="20.25" customHeight="1">
      <c r="A202" s="1556" t="s">
        <v>16</v>
      </c>
      <c r="B202" s="1550" t="s">
        <v>434</v>
      </c>
      <c r="C202" s="1550"/>
      <c r="D202" s="1550"/>
      <c r="E202" s="1550"/>
      <c r="F202" s="1550"/>
      <c r="G202" s="1550"/>
      <c r="H202" s="1550"/>
      <c r="I202" s="1550"/>
      <c r="J202" s="1550" t="s">
        <v>503</v>
      </c>
      <c r="K202" s="1550"/>
      <c r="L202" s="1550"/>
      <c r="M202" s="1550"/>
      <c r="N202" s="1550"/>
      <c r="O202" s="1550"/>
    </row>
    <row r="203" spans="1:27" s="553" customFormat="1" ht="20.25" customHeight="1">
      <c r="A203" s="1556"/>
      <c r="B203" s="1550"/>
      <c r="C203" s="1550"/>
      <c r="D203" s="1550"/>
      <c r="E203" s="1550"/>
      <c r="F203" s="1550"/>
      <c r="G203" s="1550"/>
      <c r="H203" s="1550"/>
      <c r="I203" s="1550"/>
      <c r="J203" s="1550" t="s">
        <v>442</v>
      </c>
      <c r="K203" s="1550"/>
      <c r="L203" s="1550" t="s">
        <v>443</v>
      </c>
      <c r="M203" s="1550"/>
      <c r="N203" s="1550" t="s">
        <v>444</v>
      </c>
      <c r="O203" s="1550"/>
    </row>
    <row r="204" spans="1:27" s="553" customFormat="1" ht="14.25">
      <c r="A204" s="587">
        <v>1</v>
      </c>
      <c r="B204" s="1578" t="e">
        <f>#REF!</f>
        <v>#REF!</v>
      </c>
      <c r="C204" s="1578"/>
      <c r="D204" s="1578"/>
      <c r="E204" s="1578"/>
      <c r="F204" s="1578"/>
      <c r="G204" s="1578"/>
      <c r="H204" s="1578"/>
      <c r="I204" s="1578"/>
      <c r="J204" s="1578" t="e">
        <f>COUNTIFS(#REF!,1,#REF!,B204)</f>
        <v>#REF!</v>
      </c>
      <c r="K204" s="1578"/>
      <c r="L204" s="1578" t="e">
        <f>COUNTIFS(#REF!,2,#REF!,B204)</f>
        <v>#REF!</v>
      </c>
      <c r="M204" s="1578"/>
      <c r="N204" s="1578" t="e">
        <f>COUNTIFS(#REF!,3,#REF!,B204)</f>
        <v>#REF!</v>
      </c>
      <c r="O204" s="1578"/>
    </row>
    <row r="205" spans="1:27" s="553" customFormat="1" ht="15.75" customHeight="1">
      <c r="A205" s="587">
        <v>2</v>
      </c>
      <c r="B205" s="1578" t="e">
        <f>#REF!</f>
        <v>#REF!</v>
      </c>
      <c r="C205" s="1578"/>
      <c r="D205" s="1578"/>
      <c r="E205" s="1578"/>
      <c r="F205" s="1578"/>
      <c r="G205" s="1578"/>
      <c r="H205" s="1578"/>
      <c r="I205" s="1578"/>
      <c r="J205" s="1578" t="e">
        <f>COUNTIFS(#REF!,1,#REF!,B205)</f>
        <v>#REF!</v>
      </c>
      <c r="K205" s="1578"/>
      <c r="L205" s="1578" t="e">
        <f>COUNTIFS(#REF!,2,#REF!,B205)</f>
        <v>#REF!</v>
      </c>
      <c r="M205" s="1578"/>
      <c r="N205" s="1578" t="e">
        <f>COUNTIFS(#REF!,3,#REF!,B205)</f>
        <v>#REF!</v>
      </c>
      <c r="O205" s="1578"/>
    </row>
    <row r="206" spans="1:27" s="553" customFormat="1" ht="15.75" customHeight="1">
      <c r="A206" s="587">
        <v>3</v>
      </c>
      <c r="B206" s="1578" t="e">
        <f>#REF!</f>
        <v>#REF!</v>
      </c>
      <c r="C206" s="1578"/>
      <c r="D206" s="1578"/>
      <c r="E206" s="1578"/>
      <c r="F206" s="1578"/>
      <c r="G206" s="1578"/>
      <c r="H206" s="1578"/>
      <c r="I206" s="1578"/>
      <c r="J206" s="1578" t="e">
        <f>COUNTIFS(#REF!,1,#REF!,B206)</f>
        <v>#REF!</v>
      </c>
      <c r="K206" s="1578"/>
      <c r="L206" s="1578" t="e">
        <f>COUNTIFS(#REF!,2,#REF!,B206)</f>
        <v>#REF!</v>
      </c>
      <c r="M206" s="1578"/>
      <c r="N206" s="1578" t="e">
        <f>COUNTIFS(#REF!,3,#REF!,B206)</f>
        <v>#REF!</v>
      </c>
      <c r="O206" s="1578"/>
    </row>
    <row r="207" spans="1:27" s="553" customFormat="1" ht="15.75" customHeight="1">
      <c r="A207" s="587">
        <v>4</v>
      </c>
      <c r="B207" s="1578" t="e">
        <f>#REF!</f>
        <v>#REF!</v>
      </c>
      <c r="C207" s="1578"/>
      <c r="D207" s="1578"/>
      <c r="E207" s="1578"/>
      <c r="F207" s="1578"/>
      <c r="G207" s="1578"/>
      <c r="H207" s="1578"/>
      <c r="I207" s="1578"/>
      <c r="J207" s="1578" t="e">
        <f>COUNTIFS(#REF!,1,#REF!,B207)</f>
        <v>#REF!</v>
      </c>
      <c r="K207" s="1578"/>
      <c r="L207" s="1578" t="e">
        <f>COUNTIFS(#REF!,2,#REF!,B207)</f>
        <v>#REF!</v>
      </c>
      <c r="M207" s="1578"/>
      <c r="N207" s="1578" t="e">
        <f>COUNTIFS(#REF!,3,#REF!,B207)</f>
        <v>#REF!</v>
      </c>
      <c r="O207" s="1578"/>
    </row>
    <row r="208" spans="1:27" s="553" customFormat="1" ht="15.75" customHeight="1">
      <c r="A208" s="1005">
        <v>5</v>
      </c>
      <c r="B208" s="1578" t="e">
        <f>#REF!</f>
        <v>#REF!</v>
      </c>
      <c r="C208" s="1578"/>
      <c r="D208" s="1578"/>
      <c r="E208" s="1578"/>
      <c r="F208" s="1578"/>
      <c r="G208" s="1578"/>
      <c r="H208" s="1578"/>
      <c r="I208" s="1578"/>
      <c r="J208" s="1578" t="e">
        <f>COUNTIFS(#REF!,1,#REF!,B208)</f>
        <v>#REF!</v>
      </c>
      <c r="K208" s="1578"/>
      <c r="L208" s="1578" t="e">
        <f>COUNTIFS(#REF!,2,#REF!,B208)</f>
        <v>#REF!</v>
      </c>
      <c r="M208" s="1578"/>
      <c r="N208" s="1578" t="e">
        <f>COUNTIFS(#REF!,3,#REF!,B208)</f>
        <v>#REF!</v>
      </c>
      <c r="O208" s="1578"/>
    </row>
    <row r="209" spans="1:15" s="553" customFormat="1" ht="15.75" customHeight="1">
      <c r="A209" s="1005">
        <v>6</v>
      </c>
      <c r="B209" s="1578" t="e">
        <f>#REF!</f>
        <v>#REF!</v>
      </c>
      <c r="C209" s="1578"/>
      <c r="D209" s="1578"/>
      <c r="E209" s="1578"/>
      <c r="F209" s="1578"/>
      <c r="G209" s="1578"/>
      <c r="H209" s="1578"/>
      <c r="I209" s="1578"/>
      <c r="J209" s="1578" t="e">
        <f>COUNTIFS(#REF!,1,#REF!,B209)</f>
        <v>#REF!</v>
      </c>
      <c r="K209" s="1578"/>
      <c r="L209" s="1578" t="e">
        <f>COUNTIFS(#REF!,2,#REF!,B209)</f>
        <v>#REF!</v>
      </c>
      <c r="M209" s="1578"/>
      <c r="N209" s="1578" t="e">
        <f>COUNTIFS(#REF!,3,#REF!,B209)</f>
        <v>#REF!</v>
      </c>
      <c r="O209" s="1578"/>
    </row>
    <row r="210" spans="1:15" s="553" customFormat="1" ht="15.75" customHeight="1">
      <c r="A210" s="1005">
        <v>7</v>
      </c>
      <c r="B210" s="1578" t="e">
        <f>#REF!</f>
        <v>#REF!</v>
      </c>
      <c r="C210" s="1578"/>
      <c r="D210" s="1578"/>
      <c r="E210" s="1578"/>
      <c r="F210" s="1578"/>
      <c r="G210" s="1578"/>
      <c r="H210" s="1578"/>
      <c r="I210" s="1578"/>
      <c r="J210" s="1578" t="e">
        <f>COUNTIFS(#REF!,1,#REF!,B210)</f>
        <v>#REF!</v>
      </c>
      <c r="K210" s="1578"/>
      <c r="L210" s="1578" t="e">
        <f>COUNTIFS(#REF!,2,#REF!,B210)</f>
        <v>#REF!</v>
      </c>
      <c r="M210" s="1578"/>
      <c r="N210" s="1578" t="e">
        <f>COUNTIFS(#REF!,3,#REF!,B210)</f>
        <v>#REF!</v>
      </c>
      <c r="O210" s="1578"/>
    </row>
    <row r="211" spans="1:15" s="553" customFormat="1" ht="15.75" customHeight="1">
      <c r="A211" s="1005">
        <v>8</v>
      </c>
      <c r="B211" s="1578" t="e">
        <f>#REF!</f>
        <v>#REF!</v>
      </c>
      <c r="C211" s="1578"/>
      <c r="D211" s="1578"/>
      <c r="E211" s="1578"/>
      <c r="F211" s="1578"/>
      <c r="G211" s="1578"/>
      <c r="H211" s="1578"/>
      <c r="I211" s="1578"/>
      <c r="J211" s="1578" t="e">
        <f>COUNTIFS(#REF!,1,#REF!,B211)</f>
        <v>#REF!</v>
      </c>
      <c r="K211" s="1578"/>
      <c r="L211" s="1578" t="e">
        <f>COUNTIFS(#REF!,2,#REF!,B211)</f>
        <v>#REF!</v>
      </c>
      <c r="M211" s="1578"/>
      <c r="N211" s="1578" t="e">
        <f>COUNTIFS(#REF!,3,#REF!,B211)</f>
        <v>#REF!</v>
      </c>
      <c r="O211" s="1578"/>
    </row>
    <row r="212" spans="1:15" s="553" customFormat="1" ht="15.75" customHeight="1">
      <c r="A212" s="1005">
        <v>9</v>
      </c>
      <c r="B212" s="1578" t="e">
        <f>#REF!</f>
        <v>#REF!</v>
      </c>
      <c r="C212" s="1578"/>
      <c r="D212" s="1578"/>
      <c r="E212" s="1578"/>
      <c r="F212" s="1578"/>
      <c r="G212" s="1578"/>
      <c r="H212" s="1578"/>
      <c r="I212" s="1578"/>
      <c r="J212" s="1578" t="e">
        <f>COUNTIFS(#REF!,1,#REF!,B212)</f>
        <v>#REF!</v>
      </c>
      <c r="K212" s="1578"/>
      <c r="L212" s="1578" t="e">
        <f>COUNTIFS(#REF!,2,#REF!,B212)</f>
        <v>#REF!</v>
      </c>
      <c r="M212" s="1578"/>
      <c r="N212" s="1578" t="e">
        <f>COUNTIFS(#REF!,3,#REF!,B212)</f>
        <v>#REF!</v>
      </c>
      <c r="O212" s="1578"/>
    </row>
    <row r="213" spans="1:15" s="553" customFormat="1" ht="15.75" customHeight="1">
      <c r="A213" s="1005">
        <v>10</v>
      </c>
      <c r="B213" s="1578" t="e">
        <f>#REF!</f>
        <v>#REF!</v>
      </c>
      <c r="C213" s="1578"/>
      <c r="D213" s="1578"/>
      <c r="E213" s="1578"/>
      <c r="F213" s="1578"/>
      <c r="G213" s="1578"/>
      <c r="H213" s="1578"/>
      <c r="I213" s="1578"/>
      <c r="J213" s="1578" t="e">
        <f>COUNTIFS(#REF!,1,#REF!,B213)</f>
        <v>#REF!</v>
      </c>
      <c r="K213" s="1578"/>
      <c r="L213" s="1578" t="e">
        <f>COUNTIFS(#REF!,2,#REF!,B213)</f>
        <v>#REF!</v>
      </c>
      <c r="M213" s="1578"/>
      <c r="N213" s="1578" t="e">
        <f>COUNTIFS(#REF!,3,#REF!,B213)</f>
        <v>#REF!</v>
      </c>
      <c r="O213" s="1578"/>
    </row>
    <row r="214" spans="1:15" s="553" customFormat="1" ht="15.75" customHeight="1">
      <c r="A214" s="1005">
        <v>11</v>
      </c>
      <c r="B214" s="1578" t="e">
        <f>#REF!</f>
        <v>#REF!</v>
      </c>
      <c r="C214" s="1578"/>
      <c r="D214" s="1578"/>
      <c r="E214" s="1578"/>
      <c r="F214" s="1578"/>
      <c r="G214" s="1578"/>
      <c r="H214" s="1578"/>
      <c r="I214" s="1578"/>
      <c r="J214" s="1578" t="e">
        <f>COUNTIFS(#REF!,1,#REF!,B214)</f>
        <v>#REF!</v>
      </c>
      <c r="K214" s="1578"/>
      <c r="L214" s="1578" t="e">
        <f>COUNTIFS(#REF!,2,#REF!,B214)</f>
        <v>#REF!</v>
      </c>
      <c r="M214" s="1578"/>
      <c r="N214" s="1578" t="e">
        <f>COUNTIFS(#REF!,3,#REF!,B214)</f>
        <v>#REF!</v>
      </c>
      <c r="O214" s="1578"/>
    </row>
    <row r="215" spans="1:15" s="553" customFormat="1" ht="15.75" customHeight="1">
      <c r="A215" s="1005">
        <v>12</v>
      </c>
      <c r="B215" s="1578" t="e">
        <f>#REF!</f>
        <v>#REF!</v>
      </c>
      <c r="C215" s="1578"/>
      <c r="D215" s="1578"/>
      <c r="E215" s="1578"/>
      <c r="F215" s="1578"/>
      <c r="G215" s="1578"/>
      <c r="H215" s="1578"/>
      <c r="I215" s="1578"/>
      <c r="J215" s="1578" t="e">
        <f>COUNTIFS(#REF!,1,#REF!,B215)</f>
        <v>#REF!</v>
      </c>
      <c r="K215" s="1578"/>
      <c r="L215" s="1578" t="e">
        <f>COUNTIFS(#REF!,2,#REF!,B215)</f>
        <v>#REF!</v>
      </c>
      <c r="M215" s="1578"/>
      <c r="N215" s="1578" t="e">
        <f>COUNTIFS(#REF!,3,#REF!,B215)</f>
        <v>#REF!</v>
      </c>
      <c r="O215" s="1578"/>
    </row>
    <row r="216" spans="1:15" s="553" customFormat="1" ht="15.75" customHeight="1">
      <c r="A216" s="1005">
        <v>13</v>
      </c>
      <c r="B216" s="1578" t="e">
        <f>#REF!</f>
        <v>#REF!</v>
      </c>
      <c r="C216" s="1578"/>
      <c r="D216" s="1578"/>
      <c r="E216" s="1578"/>
      <c r="F216" s="1578"/>
      <c r="G216" s="1578"/>
      <c r="H216" s="1578"/>
      <c r="I216" s="1578"/>
      <c r="J216" s="1578" t="e">
        <f>COUNTIFS(#REF!,1,#REF!,B216)</f>
        <v>#REF!</v>
      </c>
      <c r="K216" s="1578"/>
      <c r="L216" s="1578" t="e">
        <f>COUNTIFS(#REF!,2,#REF!,B216)</f>
        <v>#REF!</v>
      </c>
      <c r="M216" s="1578"/>
      <c r="N216" s="1578" t="e">
        <f>COUNTIFS(#REF!,3,#REF!,B216)</f>
        <v>#REF!</v>
      </c>
      <c r="O216" s="1578"/>
    </row>
    <row r="217" spans="1:15" s="553" customFormat="1" ht="15.75" customHeight="1">
      <c r="A217" s="1005">
        <v>14</v>
      </c>
      <c r="B217" s="1578" t="e">
        <f>#REF!</f>
        <v>#REF!</v>
      </c>
      <c r="C217" s="1578"/>
      <c r="D217" s="1578"/>
      <c r="E217" s="1578"/>
      <c r="F217" s="1578"/>
      <c r="G217" s="1578"/>
      <c r="H217" s="1578"/>
      <c r="I217" s="1578"/>
      <c r="J217" s="1578" t="e">
        <f>COUNTIFS(#REF!,1,#REF!,B217)</f>
        <v>#REF!</v>
      </c>
      <c r="K217" s="1578"/>
      <c r="L217" s="1578" t="e">
        <f>COUNTIFS(#REF!,2,#REF!,B217)</f>
        <v>#REF!</v>
      </c>
      <c r="M217" s="1578"/>
      <c r="N217" s="1578" t="e">
        <f>COUNTIFS(#REF!,3,#REF!,B217)</f>
        <v>#REF!</v>
      </c>
      <c r="O217" s="1578"/>
    </row>
    <row r="218" spans="1:15" s="553" customFormat="1" ht="15.75" customHeight="1">
      <c r="A218" s="1005">
        <v>15</v>
      </c>
      <c r="B218" s="1578" t="e">
        <f>#REF!</f>
        <v>#REF!</v>
      </c>
      <c r="C218" s="1578"/>
      <c r="D218" s="1578"/>
      <c r="E218" s="1578"/>
      <c r="F218" s="1578"/>
      <c r="G218" s="1578"/>
      <c r="H218" s="1578"/>
      <c r="I218" s="1578"/>
      <c r="J218" s="1578" t="e">
        <f>COUNTIFS(#REF!,1,#REF!,B218)</f>
        <v>#REF!</v>
      </c>
      <c r="K218" s="1578"/>
      <c r="L218" s="1578" t="e">
        <f>COUNTIFS(#REF!,2,#REF!,B218)</f>
        <v>#REF!</v>
      </c>
      <c r="M218" s="1578"/>
      <c r="N218" s="1578" t="e">
        <f>COUNTIFS(#REF!,3,#REF!,B218)</f>
        <v>#REF!</v>
      </c>
      <c r="O218" s="1578"/>
    </row>
    <row r="219" spans="1:15" s="553" customFormat="1" ht="15.75" customHeight="1">
      <c r="A219" s="1005">
        <v>16</v>
      </c>
      <c r="B219" s="1578" t="e">
        <f>#REF!</f>
        <v>#REF!</v>
      </c>
      <c r="C219" s="1578"/>
      <c r="D219" s="1578"/>
      <c r="E219" s="1578"/>
      <c r="F219" s="1578"/>
      <c r="G219" s="1578"/>
      <c r="H219" s="1578"/>
      <c r="I219" s="1578"/>
      <c r="J219" s="1578" t="e">
        <f>COUNTIFS(#REF!,1,#REF!,B219)</f>
        <v>#REF!</v>
      </c>
      <c r="K219" s="1578"/>
      <c r="L219" s="1578" t="e">
        <f>COUNTIFS(#REF!,2,#REF!,B219)</f>
        <v>#REF!</v>
      </c>
      <c r="M219" s="1578"/>
      <c r="N219" s="1578" t="e">
        <f>COUNTIFS(#REF!,3,#REF!,B219)</f>
        <v>#REF!</v>
      </c>
      <c r="O219" s="1578"/>
    </row>
    <row r="220" spans="1:15" s="553" customFormat="1" ht="15.75" customHeight="1">
      <c r="A220" s="1005">
        <v>17</v>
      </c>
      <c r="B220" s="1578" t="e">
        <f>#REF!</f>
        <v>#REF!</v>
      </c>
      <c r="C220" s="1578"/>
      <c r="D220" s="1578"/>
      <c r="E220" s="1578"/>
      <c r="F220" s="1578"/>
      <c r="G220" s="1578"/>
      <c r="H220" s="1578"/>
      <c r="I220" s="1578"/>
      <c r="J220" s="1578" t="e">
        <f>COUNTIFS(#REF!,1,#REF!,B220)</f>
        <v>#REF!</v>
      </c>
      <c r="K220" s="1578"/>
      <c r="L220" s="1578" t="e">
        <f>COUNTIFS(#REF!,2,#REF!,B220)</f>
        <v>#REF!</v>
      </c>
      <c r="M220" s="1578"/>
      <c r="N220" s="1578" t="e">
        <f>COUNTIFS(#REF!,3,#REF!,B220)</f>
        <v>#REF!</v>
      </c>
      <c r="O220" s="1578"/>
    </row>
    <row r="221" spans="1:15" s="553" customFormat="1" ht="15.75" customHeight="1">
      <c r="A221" s="1005">
        <v>18</v>
      </c>
      <c r="B221" s="1578" t="e">
        <f>#REF!</f>
        <v>#REF!</v>
      </c>
      <c r="C221" s="1578"/>
      <c r="D221" s="1578"/>
      <c r="E221" s="1578"/>
      <c r="F221" s="1578"/>
      <c r="G221" s="1578"/>
      <c r="H221" s="1578"/>
      <c r="I221" s="1578"/>
      <c r="J221" s="1578" t="e">
        <f>COUNTIFS(#REF!,1,#REF!,B221)</f>
        <v>#REF!</v>
      </c>
      <c r="K221" s="1578"/>
      <c r="L221" s="1578" t="e">
        <f>COUNTIFS(#REF!,2,#REF!,B221)</f>
        <v>#REF!</v>
      </c>
      <c r="M221" s="1578"/>
      <c r="N221" s="1578" t="e">
        <f>COUNTIFS(#REF!,3,#REF!,B221)</f>
        <v>#REF!</v>
      </c>
      <c r="O221" s="1578"/>
    </row>
    <row r="222" spans="1:15" s="553" customFormat="1" ht="15.75" customHeight="1">
      <c r="A222" s="1005">
        <v>19</v>
      </c>
      <c r="B222" s="1578" t="e">
        <f>#REF!</f>
        <v>#REF!</v>
      </c>
      <c r="C222" s="1578"/>
      <c r="D222" s="1578"/>
      <c r="E222" s="1578"/>
      <c r="F222" s="1578"/>
      <c r="G222" s="1578"/>
      <c r="H222" s="1578"/>
      <c r="I222" s="1578"/>
      <c r="J222" s="1578" t="e">
        <f>COUNTIFS(#REF!,1,#REF!,B222)</f>
        <v>#REF!</v>
      </c>
      <c r="K222" s="1578"/>
      <c r="L222" s="1578" t="e">
        <f>COUNTIFS(#REF!,2,#REF!,B222)</f>
        <v>#REF!</v>
      </c>
      <c r="M222" s="1578"/>
      <c r="N222" s="1578" t="e">
        <f>COUNTIFS(#REF!,3,#REF!,B222)</f>
        <v>#REF!</v>
      </c>
      <c r="O222" s="1578"/>
    </row>
    <row r="223" spans="1:15" s="553" customFormat="1" ht="15.75" customHeight="1">
      <c r="A223" s="1005">
        <v>20</v>
      </c>
      <c r="B223" s="1578" t="e">
        <f>#REF!</f>
        <v>#REF!</v>
      </c>
      <c r="C223" s="1578"/>
      <c r="D223" s="1578"/>
      <c r="E223" s="1578"/>
      <c r="F223" s="1578"/>
      <c r="G223" s="1578"/>
      <c r="H223" s="1578"/>
      <c r="I223" s="1578"/>
      <c r="J223" s="1578" t="e">
        <f>COUNTIFS(#REF!,1,#REF!,B223)</f>
        <v>#REF!</v>
      </c>
      <c r="K223" s="1578"/>
      <c r="L223" s="1578" t="e">
        <f>COUNTIFS(#REF!,2,#REF!,B223)</f>
        <v>#REF!</v>
      </c>
      <c r="M223" s="1578"/>
      <c r="N223" s="1578" t="e">
        <f>COUNTIFS(#REF!,3,#REF!,B223)</f>
        <v>#REF!</v>
      </c>
      <c r="O223" s="1578"/>
    </row>
    <row r="224" spans="1:15" s="553" customFormat="1" ht="15.75" customHeight="1">
      <c r="A224" s="1005">
        <v>21</v>
      </c>
      <c r="B224" s="1578" t="e">
        <f>#REF!</f>
        <v>#REF!</v>
      </c>
      <c r="C224" s="1578"/>
      <c r="D224" s="1578"/>
      <c r="E224" s="1578"/>
      <c r="F224" s="1578"/>
      <c r="G224" s="1578"/>
      <c r="H224" s="1578"/>
      <c r="I224" s="1578"/>
      <c r="J224" s="1578" t="e">
        <f>COUNTIFS(#REF!,1,#REF!,B224)</f>
        <v>#REF!</v>
      </c>
      <c r="K224" s="1578"/>
      <c r="L224" s="1578" t="e">
        <f>COUNTIFS(#REF!,2,#REF!,B224)</f>
        <v>#REF!</v>
      </c>
      <c r="M224" s="1578"/>
      <c r="N224" s="1578" t="e">
        <f>COUNTIFS(#REF!,3,#REF!,B224)</f>
        <v>#REF!</v>
      </c>
      <c r="O224" s="1578"/>
    </row>
    <row r="225" spans="1:15" s="553" customFormat="1" ht="15.75" customHeight="1">
      <c r="A225" s="1005">
        <v>22</v>
      </c>
      <c r="B225" s="1578" t="e">
        <f>#REF!</f>
        <v>#REF!</v>
      </c>
      <c r="C225" s="1578"/>
      <c r="D225" s="1578"/>
      <c r="E225" s="1578"/>
      <c r="F225" s="1578"/>
      <c r="G225" s="1578"/>
      <c r="H225" s="1578"/>
      <c r="I225" s="1578"/>
      <c r="J225" s="1578" t="e">
        <f>COUNTIFS(#REF!,1,#REF!,B225)</f>
        <v>#REF!</v>
      </c>
      <c r="K225" s="1578"/>
      <c r="L225" s="1578" t="e">
        <f>COUNTIFS(#REF!,2,#REF!,B225)</f>
        <v>#REF!</v>
      </c>
      <c r="M225" s="1578"/>
      <c r="N225" s="1578" t="e">
        <f>COUNTIFS(#REF!,3,#REF!,B225)</f>
        <v>#REF!</v>
      </c>
      <c r="O225" s="1578"/>
    </row>
    <row r="226" spans="1:15" s="553" customFormat="1" ht="15.75" customHeight="1">
      <c r="A226" s="1005">
        <v>23</v>
      </c>
      <c r="B226" s="1578" t="e">
        <f>#REF!</f>
        <v>#REF!</v>
      </c>
      <c r="C226" s="1578"/>
      <c r="D226" s="1578"/>
      <c r="E226" s="1578"/>
      <c r="F226" s="1578"/>
      <c r="G226" s="1578"/>
      <c r="H226" s="1578"/>
      <c r="I226" s="1578"/>
      <c r="J226" s="1578" t="e">
        <f>COUNTIFS(#REF!,1,#REF!,B226)</f>
        <v>#REF!</v>
      </c>
      <c r="K226" s="1578"/>
      <c r="L226" s="1578" t="e">
        <f>COUNTIFS(#REF!,2,#REF!,B226)</f>
        <v>#REF!</v>
      </c>
      <c r="M226" s="1578"/>
      <c r="N226" s="1578" t="e">
        <f>COUNTIFS(#REF!,3,#REF!,B226)</f>
        <v>#REF!</v>
      </c>
      <c r="O226" s="1578"/>
    </row>
    <row r="227" spans="1:15" s="553" customFormat="1" ht="15.75" customHeight="1">
      <c r="A227" s="1005">
        <v>24</v>
      </c>
      <c r="B227" s="1578" t="e">
        <f>#REF!</f>
        <v>#REF!</v>
      </c>
      <c r="C227" s="1578"/>
      <c r="D227" s="1578"/>
      <c r="E227" s="1578"/>
      <c r="F227" s="1578"/>
      <c r="G227" s="1578"/>
      <c r="H227" s="1578"/>
      <c r="I227" s="1578"/>
      <c r="J227" s="1578" t="e">
        <f>COUNTIFS(#REF!,1,#REF!,B227)</f>
        <v>#REF!</v>
      </c>
      <c r="K227" s="1578"/>
      <c r="L227" s="1578" t="e">
        <f>COUNTIFS(#REF!,2,#REF!,B227)</f>
        <v>#REF!</v>
      </c>
      <c r="M227" s="1578"/>
      <c r="N227" s="1578" t="e">
        <f>COUNTIFS(#REF!,3,#REF!,B227)</f>
        <v>#REF!</v>
      </c>
      <c r="O227" s="1578"/>
    </row>
    <row r="228" spans="1:15" s="553" customFormat="1" ht="15.75" customHeight="1">
      <c r="A228" s="1005">
        <v>25</v>
      </c>
      <c r="B228" s="1578" t="e">
        <f>#REF!</f>
        <v>#REF!</v>
      </c>
      <c r="C228" s="1578"/>
      <c r="D228" s="1578"/>
      <c r="E228" s="1578"/>
      <c r="F228" s="1578"/>
      <c r="G228" s="1578"/>
      <c r="H228" s="1578"/>
      <c r="I228" s="1578"/>
      <c r="J228" s="1578" t="e">
        <f>COUNTIFS(#REF!,1,#REF!,B228)</f>
        <v>#REF!</v>
      </c>
      <c r="K228" s="1578"/>
      <c r="L228" s="1578" t="e">
        <f>COUNTIFS(#REF!,2,#REF!,B228)</f>
        <v>#REF!</v>
      </c>
      <c r="M228" s="1578"/>
      <c r="N228" s="1578" t="e">
        <f>COUNTIFS(#REF!,3,#REF!,B228)</f>
        <v>#REF!</v>
      </c>
      <c r="O228" s="1578"/>
    </row>
    <row r="229" spans="1:15" s="553" customFormat="1" ht="15.75" customHeight="1">
      <c r="A229" s="1005">
        <v>26</v>
      </c>
      <c r="B229" s="1578" t="e">
        <f>#REF!</f>
        <v>#REF!</v>
      </c>
      <c r="C229" s="1578"/>
      <c r="D229" s="1578"/>
      <c r="E229" s="1578"/>
      <c r="F229" s="1578"/>
      <c r="G229" s="1578"/>
      <c r="H229" s="1578"/>
      <c r="I229" s="1578"/>
      <c r="J229" s="1578" t="e">
        <f>COUNTIFS(#REF!,1,#REF!,B229)</f>
        <v>#REF!</v>
      </c>
      <c r="K229" s="1578"/>
      <c r="L229" s="1578" t="e">
        <f>COUNTIFS(#REF!,2,#REF!,B229)</f>
        <v>#REF!</v>
      </c>
      <c r="M229" s="1578"/>
      <c r="N229" s="1578" t="e">
        <f>COUNTIFS(#REF!,3,#REF!,B229)</f>
        <v>#REF!</v>
      </c>
      <c r="O229" s="1578"/>
    </row>
    <row r="230" spans="1:15" s="553" customFormat="1" ht="15.75" customHeight="1">
      <c r="A230" s="1005">
        <v>27</v>
      </c>
      <c r="B230" s="1578" t="e">
        <f>#REF!</f>
        <v>#REF!</v>
      </c>
      <c r="C230" s="1578"/>
      <c r="D230" s="1578"/>
      <c r="E230" s="1578"/>
      <c r="F230" s="1578"/>
      <c r="G230" s="1578"/>
      <c r="H230" s="1578"/>
      <c r="I230" s="1578"/>
      <c r="J230" s="1578" t="e">
        <f>COUNTIFS(#REF!,1,#REF!,B230)</f>
        <v>#REF!</v>
      </c>
      <c r="K230" s="1578"/>
      <c r="L230" s="1578" t="e">
        <f>COUNTIFS(#REF!,2,#REF!,B230)</f>
        <v>#REF!</v>
      </c>
      <c r="M230" s="1578"/>
      <c r="N230" s="1578" t="e">
        <f>COUNTIFS(#REF!,3,#REF!,B230)</f>
        <v>#REF!</v>
      </c>
      <c r="O230" s="1578"/>
    </row>
    <row r="231" spans="1:15" s="553" customFormat="1" ht="14.25">
      <c r="A231" s="554"/>
    </row>
    <row r="232" spans="1:15" s="569" customFormat="1" ht="33" customHeight="1">
      <c r="A232" s="568" t="s">
        <v>504</v>
      </c>
      <c r="B232" s="1555" t="s">
        <v>505</v>
      </c>
      <c r="C232" s="1555"/>
      <c r="D232" s="1555"/>
      <c r="E232" s="1555"/>
      <c r="F232" s="1555"/>
      <c r="G232" s="1555"/>
      <c r="H232" s="1555"/>
      <c r="I232" s="1555"/>
      <c r="J232" s="1555"/>
      <c r="K232" s="1555"/>
      <c r="L232" s="1555"/>
      <c r="M232" s="1555"/>
      <c r="N232" s="1555"/>
      <c r="O232" s="1555"/>
    </row>
    <row r="233" spans="1:15" s="569" customFormat="1" ht="14.25">
      <c r="A233" s="1627" t="s">
        <v>1028</v>
      </c>
      <c r="B233" s="1627"/>
      <c r="C233" s="1627"/>
      <c r="D233" s="1627"/>
      <c r="E233" s="1627"/>
      <c r="F233" s="1627"/>
      <c r="G233" s="1627"/>
      <c r="H233" s="1627"/>
      <c r="I233" s="1627"/>
      <c r="J233" s="1627"/>
      <c r="K233" s="1627"/>
      <c r="L233" s="1627"/>
      <c r="M233" s="1627"/>
      <c r="N233" s="1627"/>
      <c r="O233" s="1627"/>
    </row>
    <row r="234" spans="1:15" s="569" customFormat="1" ht="14.25">
      <c r="A234" s="570"/>
      <c r="B234" s="571"/>
      <c r="C234" s="571"/>
      <c r="D234" s="571"/>
      <c r="E234" s="571"/>
      <c r="F234" s="571"/>
      <c r="G234" s="571"/>
      <c r="H234" s="571"/>
      <c r="I234" s="571"/>
      <c r="J234" s="571"/>
      <c r="K234" s="571"/>
      <c r="L234" s="571"/>
      <c r="M234" s="571"/>
      <c r="N234" s="571"/>
      <c r="O234" s="571"/>
    </row>
    <row r="235" spans="1:15" s="569" customFormat="1" ht="14.25">
      <c r="A235" s="570"/>
      <c r="B235" s="571"/>
      <c r="C235" s="571"/>
      <c r="D235" s="571"/>
      <c r="E235" s="571"/>
      <c r="F235" s="571"/>
      <c r="G235" s="571"/>
      <c r="H235" s="571"/>
      <c r="I235" s="571"/>
      <c r="J235" s="571"/>
      <c r="K235" s="571"/>
      <c r="L235" s="571"/>
      <c r="M235" s="571"/>
      <c r="N235" s="571"/>
      <c r="O235" s="571"/>
    </row>
    <row r="236" spans="1:15" s="569" customFormat="1" ht="14.25">
      <c r="A236" s="572"/>
      <c r="B236" s="573"/>
      <c r="C236" s="573"/>
      <c r="D236" s="573"/>
      <c r="E236" s="573"/>
      <c r="F236" s="573"/>
      <c r="G236" s="573"/>
      <c r="H236" s="573"/>
      <c r="I236" s="573"/>
      <c r="J236" s="573"/>
      <c r="K236" s="573"/>
      <c r="L236" s="573"/>
      <c r="M236" s="573"/>
      <c r="N236" s="573"/>
      <c r="O236" s="573"/>
    </row>
    <row r="237" spans="1:15" s="553" customFormat="1" ht="14.25">
      <c r="A237" s="574"/>
      <c r="B237" s="565"/>
      <c r="C237" s="565"/>
      <c r="D237" s="565"/>
      <c r="E237" s="565"/>
      <c r="F237" s="565"/>
      <c r="G237" s="565"/>
      <c r="H237" s="565"/>
      <c r="I237" s="565"/>
      <c r="J237" s="565"/>
      <c r="K237" s="565"/>
      <c r="L237" s="565"/>
      <c r="M237" s="565"/>
      <c r="N237" s="565"/>
      <c r="O237" s="565"/>
    </row>
    <row r="238" spans="1:15" s="553" customFormat="1" ht="14.25">
      <c r="A238" s="554"/>
    </row>
    <row r="239" spans="1:15" s="569" customFormat="1" ht="33" customHeight="1">
      <c r="A239" s="568" t="s">
        <v>507</v>
      </c>
      <c r="B239" s="1555" t="s">
        <v>508</v>
      </c>
      <c r="C239" s="1555"/>
      <c r="D239" s="1555"/>
      <c r="E239" s="1555"/>
      <c r="F239" s="1555"/>
      <c r="G239" s="1555"/>
      <c r="H239" s="1555"/>
      <c r="I239" s="1555"/>
      <c r="J239" s="1555"/>
      <c r="K239" s="1555"/>
      <c r="L239" s="1555"/>
      <c r="M239" s="1555"/>
      <c r="N239" s="1555"/>
      <c r="O239" s="1555"/>
    </row>
    <row r="240" spans="1:15" s="569" customFormat="1" ht="14.25">
      <c r="A240" s="1627" t="s">
        <v>1028</v>
      </c>
      <c r="B240" s="1627"/>
      <c r="C240" s="1627"/>
      <c r="D240" s="1627"/>
      <c r="E240" s="1627"/>
      <c r="F240" s="1627"/>
      <c r="G240" s="1627"/>
      <c r="H240" s="1627"/>
      <c r="I240" s="1627"/>
      <c r="J240" s="1627"/>
      <c r="K240" s="1627"/>
      <c r="L240" s="1627"/>
      <c r="M240" s="1627"/>
      <c r="N240" s="1627"/>
      <c r="O240" s="1627"/>
    </row>
    <row r="241" spans="1:15" s="569" customFormat="1" ht="14.25">
      <c r="A241" s="572"/>
      <c r="B241" s="573"/>
      <c r="C241" s="573"/>
      <c r="D241" s="573"/>
      <c r="E241" s="573"/>
      <c r="F241" s="573"/>
      <c r="G241" s="573"/>
      <c r="H241" s="573"/>
      <c r="I241" s="573"/>
      <c r="J241" s="573"/>
      <c r="K241" s="573"/>
      <c r="L241" s="573"/>
      <c r="M241" s="573"/>
      <c r="N241" s="573"/>
      <c r="O241" s="573"/>
    </row>
    <row r="242" spans="1:15" s="569" customFormat="1" ht="14.25">
      <c r="A242" s="572"/>
      <c r="B242" s="573"/>
      <c r="C242" s="573"/>
      <c r="D242" s="573"/>
      <c r="E242" s="573"/>
      <c r="F242" s="573"/>
      <c r="G242" s="573"/>
      <c r="H242" s="573"/>
      <c r="I242" s="573"/>
      <c r="J242" s="573"/>
      <c r="K242" s="573"/>
      <c r="L242" s="573"/>
      <c r="M242" s="573"/>
      <c r="N242" s="573"/>
      <c r="O242" s="573"/>
    </row>
    <row r="243" spans="1:15" s="569" customFormat="1" ht="14.25">
      <c r="A243" s="572"/>
      <c r="B243" s="573"/>
      <c r="C243" s="573"/>
      <c r="D243" s="573"/>
      <c r="E243" s="573"/>
      <c r="F243" s="573"/>
      <c r="G243" s="573"/>
      <c r="H243" s="573"/>
      <c r="I243" s="573"/>
      <c r="J243" s="573"/>
      <c r="K243" s="573"/>
      <c r="L243" s="573"/>
      <c r="M243" s="573"/>
      <c r="N243" s="573"/>
      <c r="O243" s="573"/>
    </row>
    <row r="244" spans="1:15" s="569" customFormat="1" ht="14.25">
      <c r="A244" s="572"/>
      <c r="B244" s="573"/>
      <c r="C244" s="573"/>
      <c r="D244" s="573"/>
      <c r="E244" s="573"/>
      <c r="F244" s="573"/>
      <c r="G244" s="573"/>
      <c r="H244" s="573"/>
      <c r="I244" s="573"/>
      <c r="J244" s="573"/>
      <c r="K244" s="573"/>
      <c r="L244" s="573"/>
      <c r="M244" s="573"/>
      <c r="N244" s="573"/>
      <c r="O244" s="573"/>
    </row>
    <row r="245" spans="1:15" s="553" customFormat="1" ht="14.25">
      <c r="A245" s="554"/>
    </row>
    <row r="246" spans="1:15" s="569" customFormat="1" ht="66.75" customHeight="1">
      <c r="A246" s="568" t="s">
        <v>509</v>
      </c>
      <c r="B246" s="1555" t="s">
        <v>510</v>
      </c>
      <c r="C246" s="1555"/>
      <c r="D246" s="1555"/>
      <c r="E246" s="1555"/>
      <c r="F246" s="1555"/>
      <c r="G246" s="1555"/>
      <c r="H246" s="1555"/>
      <c r="I246" s="1555"/>
      <c r="J246" s="1555"/>
      <c r="K246" s="1555"/>
      <c r="L246" s="1555"/>
      <c r="M246" s="1555"/>
      <c r="N246" s="1555"/>
      <c r="O246" s="1555"/>
    </row>
    <row r="247" spans="1:15" s="569" customFormat="1" ht="14.25">
      <c r="A247" s="1627" t="s">
        <v>1028</v>
      </c>
      <c r="B247" s="1627"/>
      <c r="C247" s="1627"/>
      <c r="D247" s="1627"/>
      <c r="E247" s="1627"/>
      <c r="F247" s="1627"/>
      <c r="G247" s="1627"/>
      <c r="H247" s="1627"/>
      <c r="I247" s="1627"/>
      <c r="J247" s="1627"/>
      <c r="K247" s="1627"/>
      <c r="L247" s="1627"/>
      <c r="M247" s="1627"/>
      <c r="N247" s="1627"/>
      <c r="O247" s="1627"/>
    </row>
    <row r="248" spans="1:15" s="569" customFormat="1" ht="14.25">
      <c r="A248" s="572"/>
      <c r="B248" s="573"/>
      <c r="C248" s="573"/>
      <c r="D248" s="573"/>
      <c r="E248" s="573"/>
      <c r="F248" s="573"/>
      <c r="G248" s="573"/>
      <c r="H248" s="573"/>
      <c r="I248" s="573"/>
      <c r="J248" s="573"/>
      <c r="K248" s="573"/>
      <c r="L248" s="573"/>
      <c r="M248" s="573"/>
      <c r="N248" s="573"/>
      <c r="O248" s="573"/>
    </row>
    <row r="249" spans="1:15" s="569" customFormat="1" ht="14.25">
      <c r="A249" s="572"/>
      <c r="B249" s="573"/>
      <c r="C249" s="573"/>
      <c r="D249" s="573"/>
      <c r="E249" s="573"/>
      <c r="F249" s="573"/>
      <c r="G249" s="573"/>
      <c r="H249" s="573"/>
      <c r="I249" s="573"/>
      <c r="J249" s="573"/>
      <c r="K249" s="573"/>
      <c r="L249" s="573"/>
      <c r="M249" s="573"/>
      <c r="N249" s="573"/>
      <c r="O249" s="573"/>
    </row>
    <row r="250" spans="1:15" s="569" customFormat="1" ht="14.25">
      <c r="A250" s="572"/>
      <c r="B250" s="573"/>
      <c r="C250" s="573"/>
      <c r="D250" s="573"/>
      <c r="E250" s="573"/>
      <c r="F250" s="573"/>
      <c r="G250" s="573"/>
      <c r="H250" s="573"/>
      <c r="I250" s="573"/>
      <c r="J250" s="573"/>
      <c r="K250" s="573"/>
      <c r="L250" s="573"/>
      <c r="M250" s="573"/>
      <c r="N250" s="573"/>
      <c r="O250" s="573"/>
    </row>
    <row r="251" spans="1:15" s="553" customFormat="1" ht="14.25">
      <c r="A251" s="574"/>
      <c r="B251" s="565"/>
      <c r="C251" s="565"/>
      <c r="D251" s="565"/>
      <c r="E251" s="565"/>
      <c r="F251" s="565"/>
      <c r="G251" s="565"/>
      <c r="H251" s="565"/>
      <c r="I251" s="565"/>
      <c r="J251" s="565"/>
      <c r="K251" s="565"/>
      <c r="L251" s="565"/>
      <c r="M251" s="565"/>
      <c r="N251" s="565"/>
      <c r="O251" s="565"/>
    </row>
    <row r="252" spans="1:15" s="553" customFormat="1" ht="14.25">
      <c r="A252" s="554"/>
    </row>
    <row r="253" spans="1:15" s="566" customFormat="1" ht="49.5" customHeight="1">
      <c r="A253" s="566" t="s">
        <v>511</v>
      </c>
      <c r="B253" s="1555" t="s">
        <v>512</v>
      </c>
      <c r="C253" s="1555"/>
      <c r="D253" s="1555"/>
      <c r="E253" s="1555"/>
      <c r="F253" s="1555"/>
      <c r="G253" s="1555"/>
      <c r="H253" s="1555"/>
      <c r="I253" s="1555"/>
      <c r="J253" s="1555"/>
      <c r="K253" s="1555"/>
      <c r="L253" s="1555"/>
      <c r="M253" s="1555"/>
      <c r="N253" s="1555"/>
      <c r="O253" s="1555"/>
    </row>
    <row r="254" spans="1:15" s="569" customFormat="1" ht="14.25">
      <c r="A254" s="1627" t="s">
        <v>1028</v>
      </c>
      <c r="B254" s="1627"/>
      <c r="C254" s="1627"/>
      <c r="D254" s="1627"/>
      <c r="E254" s="1627"/>
      <c r="F254" s="1627"/>
      <c r="G254" s="1627"/>
      <c r="H254" s="1627"/>
      <c r="I254" s="1627"/>
      <c r="J254" s="1627"/>
      <c r="K254" s="1627"/>
      <c r="L254" s="1627"/>
      <c r="M254" s="1627"/>
      <c r="N254" s="1627"/>
      <c r="O254" s="1627"/>
    </row>
    <row r="255" spans="1:15" s="566" customFormat="1" ht="14.25">
      <c r="A255" s="575"/>
      <c r="B255" s="573"/>
      <c r="C255" s="573"/>
      <c r="D255" s="573"/>
      <c r="E255" s="573"/>
      <c r="F255" s="573"/>
      <c r="G255" s="573"/>
      <c r="H255" s="573"/>
      <c r="I255" s="573"/>
      <c r="J255" s="573"/>
      <c r="K255" s="573"/>
      <c r="L255" s="573"/>
      <c r="M255" s="573"/>
      <c r="N255" s="573"/>
      <c r="O255" s="573"/>
    </row>
    <row r="256" spans="1:15" s="566" customFormat="1" ht="14.25">
      <c r="A256" s="575"/>
      <c r="B256" s="573"/>
      <c r="C256" s="573"/>
      <c r="D256" s="573"/>
      <c r="E256" s="573"/>
      <c r="F256" s="573"/>
      <c r="G256" s="573"/>
      <c r="H256" s="573"/>
      <c r="I256" s="573"/>
      <c r="J256" s="573"/>
      <c r="K256" s="573"/>
      <c r="L256" s="573"/>
      <c r="M256" s="573"/>
      <c r="N256" s="573"/>
      <c r="O256" s="573"/>
    </row>
    <row r="257" spans="1:15" s="566" customFormat="1" ht="14.25">
      <c r="A257" s="575"/>
      <c r="B257" s="573"/>
      <c r="C257" s="573"/>
      <c r="D257" s="573"/>
      <c r="E257" s="573"/>
      <c r="F257" s="573"/>
      <c r="G257" s="573"/>
      <c r="H257" s="573"/>
      <c r="I257" s="573"/>
      <c r="J257" s="573"/>
      <c r="K257" s="573"/>
      <c r="L257" s="573"/>
      <c r="M257" s="573"/>
      <c r="N257" s="573"/>
      <c r="O257" s="573"/>
    </row>
    <row r="258" spans="1:15" s="566" customFormat="1" ht="14.25">
      <c r="A258" s="575"/>
      <c r="B258" s="573"/>
      <c r="C258" s="573"/>
      <c r="D258" s="573"/>
      <c r="E258" s="573"/>
      <c r="F258" s="573"/>
      <c r="G258" s="573"/>
      <c r="H258" s="573"/>
      <c r="I258" s="573"/>
      <c r="J258" s="573"/>
      <c r="K258" s="573"/>
      <c r="L258" s="573"/>
      <c r="M258" s="573"/>
      <c r="N258" s="573"/>
      <c r="O258" s="573"/>
    </row>
    <row r="259" spans="1:15" s="566" customFormat="1" ht="14.25">
      <c r="A259" s="575"/>
      <c r="B259" s="573"/>
      <c r="C259" s="573"/>
      <c r="D259" s="573"/>
      <c r="E259" s="573"/>
      <c r="F259" s="573"/>
      <c r="G259" s="573"/>
      <c r="H259" s="573"/>
      <c r="I259" s="573"/>
      <c r="J259" s="573"/>
      <c r="K259" s="573"/>
      <c r="L259" s="573"/>
      <c r="M259" s="573"/>
      <c r="N259" s="573"/>
      <c r="O259" s="573"/>
    </row>
    <row r="260" spans="1:15" s="553" customFormat="1" ht="14.25">
      <c r="A260" s="574"/>
      <c r="B260" s="565"/>
      <c r="C260" s="565"/>
      <c r="D260" s="565"/>
      <c r="E260" s="565"/>
      <c r="F260" s="565"/>
      <c r="G260" s="565"/>
      <c r="H260" s="565"/>
      <c r="I260" s="565"/>
      <c r="J260" s="565"/>
      <c r="K260" s="565"/>
      <c r="L260" s="565"/>
      <c r="M260" s="565"/>
      <c r="N260" s="565"/>
      <c r="O260" s="565"/>
    </row>
    <row r="261" spans="1:15" s="553" customFormat="1" ht="14.25">
      <c r="A261" s="554"/>
    </row>
    <row r="262" spans="1:15" s="553" customFormat="1" ht="14.25">
      <c r="A262" s="554" t="s">
        <v>513</v>
      </c>
      <c r="B262" s="553" t="s">
        <v>514</v>
      </c>
    </row>
    <row r="263" spans="1:15" s="553" customFormat="1" ht="14.25">
      <c r="A263" s="554"/>
    </row>
    <row r="264" spans="1:15" s="553" customFormat="1" ht="48" customHeight="1">
      <c r="A264" s="568" t="s">
        <v>515</v>
      </c>
      <c r="B264" s="1555" t="s">
        <v>516</v>
      </c>
      <c r="C264" s="1555"/>
      <c r="D264" s="1555"/>
      <c r="E264" s="1555"/>
      <c r="F264" s="1555"/>
      <c r="G264" s="1555"/>
      <c r="H264" s="1555"/>
      <c r="I264" s="1555"/>
      <c r="J264" s="1555"/>
      <c r="K264" s="1555"/>
      <c r="L264" s="1555"/>
      <c r="M264" s="1555"/>
      <c r="N264" s="1555"/>
      <c r="O264" s="1555"/>
    </row>
    <row r="265" spans="1:15" s="569" customFormat="1" ht="14.25">
      <c r="A265" s="1627" t="s">
        <v>1028</v>
      </c>
      <c r="B265" s="1627"/>
      <c r="C265" s="1627"/>
      <c r="D265" s="1627"/>
      <c r="E265" s="1627"/>
      <c r="F265" s="1627"/>
      <c r="G265" s="1627"/>
      <c r="H265" s="1627"/>
      <c r="I265" s="1627"/>
      <c r="J265" s="1627"/>
      <c r="K265" s="1627"/>
      <c r="L265" s="1627"/>
      <c r="M265" s="1627"/>
      <c r="N265" s="1627"/>
      <c r="O265" s="1627"/>
    </row>
    <row r="266" spans="1:15" s="553" customFormat="1" ht="14.25">
      <c r="A266" s="572"/>
      <c r="B266" s="573"/>
      <c r="C266" s="573"/>
      <c r="D266" s="573"/>
      <c r="E266" s="573"/>
      <c r="F266" s="573"/>
      <c r="G266" s="573"/>
      <c r="H266" s="573"/>
      <c r="I266" s="573"/>
      <c r="J266" s="573"/>
      <c r="K266" s="573"/>
      <c r="L266" s="573"/>
      <c r="M266" s="573"/>
      <c r="N266" s="573"/>
      <c r="O266" s="573"/>
    </row>
    <row r="267" spans="1:15" s="553" customFormat="1" ht="14.25">
      <c r="A267" s="572"/>
      <c r="B267" s="573"/>
      <c r="C267" s="573"/>
      <c r="D267" s="573"/>
      <c r="E267" s="573"/>
      <c r="F267" s="573"/>
      <c r="G267" s="573"/>
      <c r="H267" s="573"/>
      <c r="I267" s="573"/>
      <c r="J267" s="573"/>
      <c r="K267" s="573"/>
      <c r="L267" s="573"/>
      <c r="M267" s="573"/>
      <c r="N267" s="573"/>
      <c r="O267" s="573"/>
    </row>
    <row r="268" spans="1:15" s="553" customFormat="1" ht="14.25">
      <c r="A268" s="572"/>
      <c r="B268" s="573"/>
      <c r="C268" s="573"/>
      <c r="D268" s="573"/>
      <c r="E268" s="573"/>
      <c r="F268" s="573"/>
      <c r="G268" s="573"/>
      <c r="H268" s="573"/>
      <c r="I268" s="573"/>
      <c r="J268" s="573"/>
      <c r="K268" s="573"/>
      <c r="L268" s="573"/>
      <c r="M268" s="573"/>
      <c r="N268" s="573"/>
      <c r="O268" s="573"/>
    </row>
    <row r="269" spans="1:15" s="553" customFormat="1" ht="14.25">
      <c r="A269" s="554"/>
    </row>
    <row r="270" spans="1:15" s="553" customFormat="1" ht="33" customHeight="1">
      <c r="A270" s="566" t="s">
        <v>518</v>
      </c>
      <c r="B270" s="1555" t="s">
        <v>517</v>
      </c>
      <c r="C270" s="1555"/>
      <c r="D270" s="1555"/>
      <c r="E270" s="1555"/>
      <c r="F270" s="1555"/>
      <c r="G270" s="1555"/>
      <c r="H270" s="1555"/>
      <c r="I270" s="1555"/>
      <c r="J270" s="1555"/>
      <c r="K270" s="1555"/>
      <c r="L270" s="1555"/>
      <c r="M270" s="1555"/>
      <c r="N270" s="1555"/>
      <c r="O270" s="1555"/>
    </row>
    <row r="271" spans="1:15" s="569" customFormat="1" ht="14.25">
      <c r="A271" s="1627" t="s">
        <v>1028</v>
      </c>
      <c r="B271" s="1627"/>
      <c r="C271" s="1627"/>
      <c r="D271" s="1627"/>
      <c r="E271" s="1627"/>
      <c r="F271" s="1627"/>
      <c r="G271" s="1627"/>
      <c r="H271" s="1627"/>
      <c r="I271" s="1627"/>
      <c r="J271" s="1627"/>
      <c r="K271" s="1627"/>
      <c r="L271" s="1627"/>
      <c r="M271" s="1627"/>
      <c r="N271" s="1627"/>
      <c r="O271" s="1627"/>
    </row>
    <row r="272" spans="1:15" s="553" customFormat="1" ht="14.25">
      <c r="A272" s="575"/>
      <c r="B272" s="573"/>
      <c r="C272" s="573"/>
      <c r="D272" s="573"/>
      <c r="E272" s="573"/>
      <c r="F272" s="573"/>
      <c r="G272" s="573"/>
      <c r="H272" s="573"/>
      <c r="I272" s="573"/>
      <c r="J272" s="573"/>
      <c r="K272" s="573"/>
      <c r="L272" s="573"/>
      <c r="M272" s="573"/>
      <c r="N272" s="573"/>
      <c r="O272" s="573"/>
    </row>
    <row r="273" spans="1:15" s="553" customFormat="1" ht="14.25">
      <c r="A273" s="575"/>
      <c r="B273" s="573"/>
      <c r="C273" s="573"/>
      <c r="D273" s="573"/>
      <c r="E273" s="573"/>
      <c r="F273" s="573"/>
      <c r="G273" s="573"/>
      <c r="H273" s="573"/>
      <c r="I273" s="573"/>
      <c r="J273" s="573"/>
      <c r="K273" s="573"/>
      <c r="L273" s="573"/>
      <c r="M273" s="573"/>
      <c r="N273" s="573"/>
      <c r="O273" s="573"/>
    </row>
    <row r="274" spans="1:15" s="553" customFormat="1" ht="14.25">
      <c r="A274" s="575"/>
      <c r="B274" s="573"/>
      <c r="C274" s="573"/>
      <c r="D274" s="573"/>
      <c r="E274" s="573"/>
      <c r="F274" s="573"/>
      <c r="G274" s="573"/>
      <c r="H274" s="573"/>
      <c r="I274" s="573"/>
      <c r="J274" s="573"/>
      <c r="K274" s="573"/>
      <c r="L274" s="573"/>
      <c r="M274" s="573"/>
      <c r="N274" s="573"/>
      <c r="O274" s="573"/>
    </row>
    <row r="275" spans="1:15" s="553" customFormat="1" ht="14.25">
      <c r="A275" s="575"/>
      <c r="B275" s="573"/>
      <c r="C275" s="573"/>
      <c r="D275" s="573"/>
      <c r="E275" s="573"/>
      <c r="F275" s="573"/>
      <c r="G275" s="573"/>
      <c r="H275" s="573"/>
      <c r="I275" s="573"/>
      <c r="J275" s="573"/>
      <c r="K275" s="573"/>
      <c r="L275" s="573"/>
      <c r="M275" s="573"/>
      <c r="N275" s="573"/>
      <c r="O275" s="573"/>
    </row>
    <row r="276" spans="1:15" s="553" customFormat="1" ht="14.25">
      <c r="A276" s="575"/>
      <c r="B276" s="573"/>
      <c r="C276" s="573"/>
      <c r="D276" s="573"/>
      <c r="E276" s="573"/>
      <c r="F276" s="573"/>
      <c r="G276" s="573"/>
      <c r="H276" s="573"/>
      <c r="I276" s="573"/>
      <c r="J276" s="573"/>
      <c r="K276" s="573"/>
      <c r="L276" s="573"/>
      <c r="M276" s="573"/>
      <c r="N276" s="573"/>
      <c r="O276" s="573"/>
    </row>
    <row r="277" spans="1:15" s="553" customFormat="1" ht="14.25">
      <c r="A277" s="556"/>
    </row>
    <row r="278" spans="1:15" s="569" customFormat="1" ht="30" customHeight="1">
      <c r="A278" s="566" t="s">
        <v>519</v>
      </c>
      <c r="B278" s="1555" t="s">
        <v>520</v>
      </c>
      <c r="C278" s="1555"/>
      <c r="D278" s="1555"/>
      <c r="E278" s="1555"/>
      <c r="F278" s="1555"/>
      <c r="G278" s="1555"/>
      <c r="H278" s="1555"/>
      <c r="I278" s="1555"/>
      <c r="J278" s="1555"/>
      <c r="K278" s="1555"/>
      <c r="L278" s="1555"/>
      <c r="M278" s="1555"/>
      <c r="N278" s="1555"/>
      <c r="O278" s="1555"/>
    </row>
    <row r="279" spans="1:15" s="569" customFormat="1" ht="14.25">
      <c r="A279" s="1627" t="s">
        <v>1028</v>
      </c>
      <c r="B279" s="1627"/>
      <c r="C279" s="1627"/>
      <c r="D279" s="1627"/>
      <c r="E279" s="1627"/>
      <c r="F279" s="1627"/>
      <c r="G279" s="1627"/>
      <c r="H279" s="1627"/>
      <c r="I279" s="1627"/>
      <c r="J279" s="1627"/>
      <c r="K279" s="1627"/>
      <c r="L279" s="1627"/>
      <c r="M279" s="1627"/>
      <c r="N279" s="1627"/>
      <c r="O279" s="1627"/>
    </row>
    <row r="280" spans="1:15" s="553" customFormat="1" ht="14.25">
      <c r="A280" s="575"/>
      <c r="B280" s="573"/>
      <c r="C280" s="573"/>
      <c r="D280" s="573"/>
      <c r="E280" s="573"/>
      <c r="F280" s="573"/>
      <c r="G280" s="573"/>
      <c r="H280" s="573"/>
      <c r="I280" s="573"/>
      <c r="J280" s="573"/>
      <c r="K280" s="573"/>
      <c r="L280" s="573"/>
      <c r="M280" s="573"/>
      <c r="N280" s="573"/>
      <c r="O280" s="573"/>
    </row>
    <row r="281" spans="1:15" s="553" customFormat="1" ht="14.25">
      <c r="A281" s="575"/>
      <c r="B281" s="573"/>
      <c r="C281" s="573"/>
      <c r="D281" s="573"/>
      <c r="E281" s="573"/>
      <c r="F281" s="573"/>
      <c r="G281" s="573"/>
      <c r="H281" s="573"/>
      <c r="I281" s="573"/>
      <c r="J281" s="573"/>
      <c r="K281" s="573"/>
      <c r="L281" s="573"/>
      <c r="M281" s="573"/>
      <c r="N281" s="573"/>
      <c r="O281" s="573"/>
    </row>
    <row r="282" spans="1:15" s="553" customFormat="1" ht="14.25">
      <c r="A282" s="575"/>
      <c r="B282" s="573"/>
      <c r="C282" s="573"/>
      <c r="D282" s="573"/>
      <c r="E282" s="573"/>
      <c r="F282" s="573"/>
      <c r="G282" s="573"/>
      <c r="H282" s="573"/>
      <c r="I282" s="573"/>
      <c r="J282" s="573"/>
      <c r="K282" s="573"/>
      <c r="L282" s="573"/>
      <c r="M282" s="573"/>
      <c r="N282" s="573"/>
      <c r="O282" s="573"/>
    </row>
    <row r="283" spans="1:15" s="553" customFormat="1" ht="14.25">
      <c r="A283" s="575"/>
      <c r="B283" s="573"/>
      <c r="C283" s="573"/>
      <c r="D283" s="573"/>
      <c r="E283" s="573"/>
      <c r="F283" s="573"/>
      <c r="G283" s="573"/>
      <c r="H283" s="573"/>
      <c r="I283" s="573"/>
      <c r="J283" s="573"/>
      <c r="K283" s="573"/>
      <c r="L283" s="573"/>
      <c r="M283" s="573"/>
      <c r="N283" s="573"/>
      <c r="O283" s="573"/>
    </row>
    <row r="284" spans="1:15" s="553" customFormat="1" ht="14.25">
      <c r="A284" s="556"/>
    </row>
    <row r="285" spans="1:15" s="569" customFormat="1" ht="32.25" customHeight="1">
      <c r="A285" s="568" t="s">
        <v>521</v>
      </c>
      <c r="B285" s="1555" t="s">
        <v>522</v>
      </c>
      <c r="C285" s="1555"/>
      <c r="D285" s="1555"/>
      <c r="E285" s="1555"/>
      <c r="F285" s="1555"/>
      <c r="G285" s="1555"/>
      <c r="H285" s="1555"/>
      <c r="I285" s="1555"/>
      <c r="J285" s="1555"/>
      <c r="K285" s="1555"/>
      <c r="L285" s="1555"/>
      <c r="M285" s="1555"/>
      <c r="N285" s="1555"/>
      <c r="O285" s="1555"/>
    </row>
    <row r="286" spans="1:15" s="569" customFormat="1" ht="14.25">
      <c r="A286" s="1627" t="s">
        <v>1028</v>
      </c>
      <c r="B286" s="1627"/>
      <c r="C286" s="1627"/>
      <c r="D286" s="1627"/>
      <c r="E286" s="1627"/>
      <c r="F286" s="1627"/>
      <c r="G286" s="1627"/>
      <c r="H286" s="1627"/>
      <c r="I286" s="1627"/>
      <c r="J286" s="1627"/>
      <c r="K286" s="1627"/>
      <c r="L286" s="1627"/>
      <c r="M286" s="1627"/>
      <c r="N286" s="1627"/>
      <c r="O286" s="1627"/>
    </row>
    <row r="287" spans="1:15" s="553" customFormat="1" ht="14.25">
      <c r="A287" s="575"/>
      <c r="B287" s="573"/>
      <c r="C287" s="573"/>
      <c r="D287" s="573"/>
      <c r="E287" s="573"/>
      <c r="F287" s="573"/>
      <c r="G287" s="573"/>
      <c r="H287" s="573"/>
      <c r="I287" s="573"/>
      <c r="J287" s="573"/>
      <c r="K287" s="573"/>
      <c r="L287" s="573"/>
      <c r="M287" s="573"/>
      <c r="N287" s="573"/>
      <c r="O287" s="573"/>
    </row>
    <row r="288" spans="1:15" s="553" customFormat="1" ht="14.25">
      <c r="A288" s="575"/>
      <c r="B288" s="573"/>
      <c r="C288" s="573"/>
      <c r="D288" s="573"/>
      <c r="E288" s="573"/>
      <c r="F288" s="573"/>
      <c r="G288" s="573"/>
      <c r="H288" s="573"/>
      <c r="I288" s="573"/>
      <c r="J288" s="573"/>
      <c r="K288" s="573"/>
      <c r="L288" s="573"/>
      <c r="M288" s="573"/>
      <c r="N288" s="573"/>
      <c r="O288" s="573"/>
    </row>
    <row r="289" spans="1:15" s="553" customFormat="1" ht="14.25">
      <c r="A289" s="575"/>
      <c r="B289" s="573"/>
      <c r="C289" s="573"/>
      <c r="D289" s="573"/>
      <c r="E289" s="573"/>
      <c r="F289" s="573"/>
      <c r="G289" s="573"/>
      <c r="H289" s="573"/>
      <c r="I289" s="573"/>
      <c r="J289" s="573"/>
      <c r="K289" s="573"/>
      <c r="L289" s="573"/>
      <c r="M289" s="573"/>
      <c r="N289" s="573"/>
      <c r="O289" s="573"/>
    </row>
    <row r="290" spans="1:15" s="553" customFormat="1" ht="14.25">
      <c r="A290" s="575"/>
      <c r="B290" s="573"/>
      <c r="C290" s="573"/>
      <c r="D290" s="573"/>
      <c r="E290" s="573"/>
      <c r="F290" s="573"/>
      <c r="G290" s="573"/>
      <c r="H290" s="573"/>
      <c r="I290" s="573"/>
      <c r="J290" s="573"/>
      <c r="K290" s="573"/>
      <c r="L290" s="573"/>
      <c r="M290" s="573"/>
      <c r="N290" s="573"/>
      <c r="O290" s="573"/>
    </row>
    <row r="291" spans="1:15" s="553" customFormat="1" ht="14.25">
      <c r="A291" s="554"/>
    </row>
    <row r="292" spans="1:15" s="553" customFormat="1" ht="14.25">
      <c r="A292" s="554" t="s">
        <v>523</v>
      </c>
      <c r="B292" s="1589" t="s">
        <v>524</v>
      </c>
      <c r="C292" s="1589"/>
      <c r="D292" s="1589"/>
      <c r="E292" s="1589"/>
      <c r="F292" s="1589"/>
      <c r="G292" s="1589"/>
      <c r="H292" s="1589"/>
      <c r="I292" s="1589"/>
      <c r="J292" s="1589"/>
      <c r="K292" s="1589"/>
      <c r="L292" s="1589"/>
      <c r="M292" s="1589"/>
      <c r="N292" s="1589"/>
      <c r="O292" s="1589"/>
    </row>
    <row r="293" spans="1:15" s="569" customFormat="1" ht="14.25">
      <c r="A293" s="1627" t="s">
        <v>1028</v>
      </c>
      <c r="B293" s="1627"/>
      <c r="C293" s="1627"/>
      <c r="D293" s="1627"/>
      <c r="E293" s="1627"/>
      <c r="F293" s="1627"/>
      <c r="G293" s="1627"/>
      <c r="H293" s="1627"/>
      <c r="I293" s="1627"/>
      <c r="J293" s="1627"/>
      <c r="K293" s="1627"/>
      <c r="L293" s="1627"/>
      <c r="M293" s="1627"/>
      <c r="N293" s="1627"/>
      <c r="O293" s="1627"/>
    </row>
    <row r="294" spans="1:15" s="553" customFormat="1" ht="14.25">
      <c r="A294" s="575"/>
      <c r="B294" s="573"/>
      <c r="C294" s="573"/>
      <c r="D294" s="573"/>
      <c r="E294" s="573"/>
      <c r="F294" s="573"/>
      <c r="G294" s="573"/>
      <c r="H294" s="573"/>
      <c r="I294" s="573"/>
      <c r="J294" s="573"/>
      <c r="K294" s="573"/>
      <c r="L294" s="573"/>
      <c r="M294" s="573"/>
      <c r="N294" s="573"/>
      <c r="O294" s="573"/>
    </row>
    <row r="295" spans="1:15" s="553" customFormat="1" ht="14.25">
      <c r="A295" s="575"/>
      <c r="B295" s="573"/>
      <c r="C295" s="573"/>
      <c r="D295" s="573"/>
      <c r="E295" s="573"/>
      <c r="F295" s="573"/>
      <c r="G295" s="573"/>
      <c r="H295" s="573"/>
      <c r="I295" s="573"/>
      <c r="J295" s="573"/>
      <c r="K295" s="573"/>
      <c r="L295" s="573"/>
      <c r="M295" s="573"/>
      <c r="N295" s="573"/>
      <c r="O295" s="573"/>
    </row>
    <row r="296" spans="1:15" s="553" customFormat="1" ht="14.25">
      <c r="A296" s="575"/>
      <c r="B296" s="573"/>
      <c r="C296" s="573"/>
      <c r="D296" s="573"/>
      <c r="E296" s="573"/>
      <c r="F296" s="573"/>
      <c r="G296" s="573"/>
      <c r="H296" s="573"/>
      <c r="I296" s="573"/>
      <c r="J296" s="573"/>
      <c r="K296" s="573"/>
      <c r="L296" s="573"/>
      <c r="M296" s="573"/>
      <c r="N296" s="573"/>
      <c r="O296" s="573"/>
    </row>
    <row r="297" spans="1:15" s="553" customFormat="1" ht="14.25">
      <c r="A297" s="575"/>
      <c r="B297" s="573"/>
      <c r="C297" s="573"/>
      <c r="D297" s="573"/>
      <c r="E297" s="573"/>
      <c r="F297" s="573"/>
      <c r="G297" s="573"/>
      <c r="H297" s="573"/>
      <c r="I297" s="573"/>
      <c r="J297" s="573"/>
      <c r="K297" s="573"/>
      <c r="L297" s="573"/>
      <c r="M297" s="573"/>
      <c r="N297" s="573"/>
      <c r="O297" s="573"/>
    </row>
    <row r="298" spans="1:15" s="553" customFormat="1" ht="14.25">
      <c r="A298" s="575"/>
      <c r="B298" s="573"/>
      <c r="C298" s="573"/>
      <c r="D298" s="573"/>
      <c r="E298" s="573"/>
      <c r="F298" s="573"/>
      <c r="G298" s="573"/>
      <c r="H298" s="573"/>
      <c r="I298" s="573"/>
      <c r="J298" s="573"/>
      <c r="K298" s="573"/>
      <c r="L298" s="573"/>
      <c r="M298" s="573"/>
      <c r="N298" s="573"/>
      <c r="O298" s="573"/>
    </row>
    <row r="299" spans="1:15" s="553" customFormat="1" ht="14.25">
      <c r="A299" s="554"/>
    </row>
    <row r="300" spans="1:15" s="553" customFormat="1" ht="14.25">
      <c r="A300" s="556" t="s">
        <v>445</v>
      </c>
    </row>
    <row r="301" spans="1:15" s="553" customFormat="1" ht="32.25" customHeight="1">
      <c r="A301" s="566" t="s">
        <v>525</v>
      </c>
      <c r="B301" s="1555" t="s">
        <v>526</v>
      </c>
      <c r="C301" s="1555"/>
      <c r="D301" s="1555"/>
      <c r="E301" s="1555"/>
      <c r="F301" s="1555"/>
      <c r="G301" s="1555"/>
      <c r="H301" s="1555"/>
      <c r="I301" s="1555"/>
      <c r="J301" s="1555"/>
      <c r="K301" s="1555"/>
      <c r="L301" s="1555"/>
      <c r="M301" s="1555"/>
      <c r="N301" s="1555"/>
      <c r="O301" s="1555"/>
    </row>
    <row r="302" spans="1:15" s="553" customFormat="1" ht="14.25">
      <c r="A302" s="554" t="s">
        <v>527</v>
      </c>
      <c r="B302" s="553" t="s">
        <v>528</v>
      </c>
    </row>
    <row r="303" spans="1:15" s="569" customFormat="1" ht="35.25" customHeight="1">
      <c r="A303" s="568" t="s">
        <v>529</v>
      </c>
      <c r="B303" s="1555" t="s">
        <v>530</v>
      </c>
      <c r="C303" s="1555"/>
      <c r="D303" s="1555"/>
      <c r="E303" s="1555"/>
      <c r="F303" s="1555"/>
      <c r="G303" s="1555"/>
      <c r="H303" s="1555"/>
      <c r="I303" s="1555"/>
      <c r="J303" s="1555"/>
      <c r="K303" s="1555"/>
      <c r="L303" s="1555"/>
      <c r="M303" s="1555"/>
      <c r="N303" s="1555"/>
      <c r="O303" s="1555"/>
    </row>
    <row r="304" spans="1:15" s="553" customFormat="1" ht="14.25">
      <c r="A304" s="554" t="s">
        <v>433</v>
      </c>
    </row>
    <row r="305" spans="1:15" s="553" customFormat="1" ht="14.25">
      <c r="A305" s="557"/>
    </row>
    <row r="306" spans="1:15" s="553" customFormat="1" ht="15.75" customHeight="1">
      <c r="A306" s="1629" t="s">
        <v>1053</v>
      </c>
      <c r="B306" s="1629"/>
      <c r="C306" s="1629"/>
      <c r="D306" s="1629"/>
      <c r="E306" s="1629"/>
      <c r="F306" s="1629"/>
      <c r="G306" s="1629"/>
      <c r="H306" s="1629"/>
      <c r="I306" s="1629"/>
    </row>
    <row r="307" spans="1:15" s="553" customFormat="1" ht="14.25">
      <c r="A307" s="1629"/>
      <c r="B307" s="1629"/>
      <c r="C307" s="1629"/>
      <c r="D307" s="1629"/>
      <c r="E307" s="1629"/>
      <c r="F307" s="1629"/>
      <c r="G307" s="1629"/>
      <c r="H307" s="1629"/>
      <c r="I307" s="1629"/>
    </row>
    <row r="308" spans="1:15" s="553" customFormat="1" ht="14.25">
      <c r="A308" s="1629"/>
      <c r="B308" s="1629"/>
      <c r="C308" s="1629"/>
      <c r="D308" s="1629"/>
      <c r="E308" s="1629"/>
      <c r="F308" s="1629"/>
      <c r="G308" s="1629"/>
      <c r="H308" s="1629"/>
      <c r="I308" s="1629"/>
    </row>
    <row r="309" spans="1:15" s="553" customFormat="1" ht="14.25">
      <c r="A309" s="1629"/>
      <c r="B309" s="1629"/>
      <c r="C309" s="1629"/>
      <c r="D309" s="1629"/>
      <c r="E309" s="1629"/>
      <c r="F309" s="1629"/>
      <c r="G309" s="1629"/>
      <c r="H309" s="1629"/>
      <c r="I309" s="1629"/>
    </row>
    <row r="310" spans="1:15" s="553" customFormat="1" ht="14.25">
      <c r="A310" s="576"/>
      <c r="B310" s="576"/>
      <c r="C310" s="576"/>
      <c r="D310" s="576"/>
      <c r="E310" s="576"/>
      <c r="F310" s="576"/>
      <c r="G310" s="576"/>
      <c r="H310" s="576"/>
      <c r="I310" s="576"/>
    </row>
    <row r="311" spans="1:15" s="553" customFormat="1" ht="14.25">
      <c r="A311" s="557"/>
    </row>
    <row r="312" spans="1:15" s="553" customFormat="1" ht="14.25">
      <c r="A312" s="1632"/>
      <c r="B312" s="1632"/>
      <c r="C312" s="1632"/>
      <c r="D312" s="1632"/>
      <c r="E312" s="1632"/>
      <c r="F312" s="1632"/>
      <c r="G312" s="1632"/>
      <c r="I312" s="1631" t="s">
        <v>1054</v>
      </c>
      <c r="J312" s="1631"/>
      <c r="K312" s="1631"/>
      <c r="L312" s="1631"/>
      <c r="M312" s="1631"/>
      <c r="N312" s="1631"/>
      <c r="O312" s="1631"/>
    </row>
    <row r="313" spans="1:15" s="553" customFormat="1" ht="14.25">
      <c r="A313" s="1628" t="s">
        <v>531</v>
      </c>
      <c r="B313" s="1628"/>
      <c r="C313" s="1628"/>
      <c r="D313" s="1628"/>
      <c r="E313" s="1628"/>
      <c r="F313" s="1628"/>
      <c r="G313" s="1628"/>
      <c r="I313" s="1628" t="s">
        <v>532</v>
      </c>
      <c r="J313" s="1628"/>
      <c r="K313" s="1628"/>
      <c r="L313" s="1628"/>
      <c r="M313" s="1628"/>
      <c r="N313" s="1628"/>
      <c r="O313" s="1628"/>
    </row>
    <row r="314" spans="1:15" s="553" customFormat="1" ht="14.25">
      <c r="A314" s="560"/>
    </row>
    <row r="315" spans="1:15" s="553" customFormat="1" ht="14.25">
      <c r="A315" s="560"/>
    </row>
    <row r="316" spans="1:15" s="553" customFormat="1" ht="14.25">
      <c r="A316" s="560"/>
    </row>
    <row r="317" spans="1:15" s="553" customFormat="1" ht="14.25">
      <c r="A317" s="1630" t="s">
        <v>2</v>
      </c>
      <c r="B317" s="1630"/>
      <c r="C317" s="1630"/>
      <c r="D317" s="1630"/>
      <c r="E317" s="1589"/>
      <c r="F317" s="1589"/>
      <c r="G317" s="1589"/>
      <c r="H317" s="1589"/>
      <c r="I317" s="1589"/>
      <c r="K317" s="1633" t="e">
        <f>#REF!</f>
        <v>#REF!</v>
      </c>
      <c r="L317" s="1633"/>
      <c r="M317" s="1633"/>
      <c r="N317" s="1633"/>
      <c r="O317" s="1633"/>
    </row>
    <row r="318" spans="1:15" s="553" customFormat="1" ht="14.25">
      <c r="A318" s="837"/>
      <c r="B318" s="837"/>
      <c r="C318" s="837"/>
      <c r="D318" s="837"/>
      <c r="E318" s="1628" t="s">
        <v>531</v>
      </c>
      <c r="F318" s="1628"/>
      <c r="G318" s="1628"/>
      <c r="H318" s="1628"/>
      <c r="I318" s="1628"/>
      <c r="K318" s="1628" t="s">
        <v>533</v>
      </c>
      <c r="L318" s="1628"/>
      <c r="M318" s="1628"/>
      <c r="N318" s="1628"/>
      <c r="O318" s="1628"/>
    </row>
    <row r="319" spans="1:15" s="553" customFormat="1" ht="14.25">
      <c r="A319" s="837"/>
      <c r="B319" s="837"/>
      <c r="C319" s="837"/>
      <c r="D319" s="837"/>
      <c r="E319" s="560"/>
      <c r="F319" s="560"/>
      <c r="G319" s="560"/>
      <c r="H319" s="560"/>
      <c r="I319" s="560"/>
      <c r="K319" s="560"/>
      <c r="L319" s="560"/>
      <c r="M319" s="560"/>
      <c r="N319" s="560"/>
      <c r="O319" s="560"/>
    </row>
    <row r="320" spans="1:15" s="553" customFormat="1" ht="14.25">
      <c r="A320" s="1630" t="s">
        <v>1055</v>
      </c>
      <c r="B320" s="1630"/>
      <c r="C320" s="1630"/>
      <c r="D320" s="1630"/>
      <c r="E320" s="1589"/>
      <c r="F320" s="1589"/>
      <c r="G320" s="1589"/>
      <c r="H320" s="1589"/>
      <c r="I320" s="1589"/>
      <c r="K320" s="1633" t="e">
        <f>#REF!</f>
        <v>#REF!</v>
      </c>
      <c r="L320" s="1633"/>
      <c r="M320" s="1633"/>
      <c r="N320" s="1633"/>
      <c r="O320" s="1633"/>
    </row>
    <row r="321" spans="1:15" s="553" customFormat="1" ht="14.25">
      <c r="E321" s="1628" t="s">
        <v>531</v>
      </c>
      <c r="F321" s="1628"/>
      <c r="G321" s="1628"/>
      <c r="H321" s="1628"/>
      <c r="I321" s="1628"/>
      <c r="K321" s="1628" t="s">
        <v>533</v>
      </c>
      <c r="L321" s="1628"/>
      <c r="M321" s="1628"/>
      <c r="N321" s="1628"/>
      <c r="O321" s="1628"/>
    </row>
    <row r="322" spans="1:15" s="553" customFormat="1" ht="147">
      <c r="A322" s="554" t="s">
        <v>446</v>
      </c>
    </row>
    <row r="323" spans="1:15" s="553" customFormat="1" ht="14.25"/>
    <row r="324" spans="1:15" s="553" customFormat="1" ht="14.25"/>
    <row r="325" spans="1:15" s="553" customFormat="1" ht="14.25"/>
    <row r="326" spans="1:15" s="553" customFormat="1" ht="14.25"/>
    <row r="327" spans="1:15" s="553" customFormat="1" ht="14.25"/>
    <row r="328" spans="1:15" s="553" customFormat="1" ht="14.25"/>
    <row r="329" spans="1:15" s="553" customFormat="1" ht="14.25"/>
    <row r="330" spans="1:15" s="553" customFormat="1" ht="14.25"/>
    <row r="331" spans="1:15" s="553" customFormat="1" ht="14.25"/>
    <row r="332" spans="1:15" s="553" customFormat="1" ht="14.25"/>
    <row r="333" spans="1:15" s="553" customFormat="1" ht="14.25"/>
    <row r="334" spans="1:15" s="553" customFormat="1" ht="14.25"/>
    <row r="335" spans="1:15" s="553" customFormat="1" ht="14.25"/>
    <row r="336" spans="1:15" s="553" customFormat="1" ht="14.25"/>
    <row r="337" s="553" customFormat="1" ht="14.25"/>
    <row r="338" s="553" customFormat="1" ht="14.25"/>
    <row r="339" s="553" customFormat="1" ht="14.25"/>
    <row r="340" s="553" customFormat="1" ht="14.25"/>
    <row r="341" s="553" customFormat="1" ht="14.25"/>
    <row r="342" s="553" customFormat="1" ht="14.25"/>
    <row r="343" s="553" customFormat="1" ht="14.25"/>
    <row r="344" s="553" customFormat="1" ht="14.25"/>
    <row r="345" s="553" customFormat="1" ht="14.25"/>
    <row r="346" s="553" customFormat="1" ht="14.25"/>
    <row r="347" s="553" customFormat="1" ht="14.25"/>
    <row r="348" s="553" customFormat="1" ht="14.25"/>
    <row r="349" s="553" customFormat="1" ht="14.25"/>
    <row r="350" s="553" customFormat="1" ht="14.25"/>
  </sheetData>
  <mergeCells count="335">
    <mergeCell ref="M89:N89"/>
    <mergeCell ref="M90:N90"/>
    <mergeCell ref="M91:N91"/>
    <mergeCell ref="M92:N92"/>
    <mergeCell ref="M93:N93"/>
    <mergeCell ref="B89:I89"/>
    <mergeCell ref="B90:I90"/>
    <mergeCell ref="B91:I91"/>
    <mergeCell ref="B92:I92"/>
    <mergeCell ref="B93:I93"/>
    <mergeCell ref="B94:I94"/>
    <mergeCell ref="B95:I95"/>
    <mergeCell ref="B96:I96"/>
    <mergeCell ref="B97:I97"/>
    <mergeCell ref="B213:I213"/>
    <mergeCell ref="J213:K213"/>
    <mergeCell ref="L213:M213"/>
    <mergeCell ref="N213:O213"/>
    <mergeCell ref="B214:I214"/>
    <mergeCell ref="J214:K214"/>
    <mergeCell ref="L214:M214"/>
    <mergeCell ref="N214:O214"/>
    <mergeCell ref="B212:I212"/>
    <mergeCell ref="J212:K212"/>
    <mergeCell ref="L212:M212"/>
    <mergeCell ref="N212:O212"/>
    <mergeCell ref="J149:Q149"/>
    <mergeCell ref="B145:I145"/>
    <mergeCell ref="J145:Q145"/>
    <mergeCell ref="B141:I141"/>
    <mergeCell ref="J141:Q141"/>
    <mergeCell ref="A116:B116"/>
    <mergeCell ref="B131:C131"/>
    <mergeCell ref="M130:N130"/>
    <mergeCell ref="J215:K215"/>
    <mergeCell ref="L215:M215"/>
    <mergeCell ref="N215:O215"/>
    <mergeCell ref="B223:I223"/>
    <mergeCell ref="J223:K223"/>
    <mergeCell ref="L223:M223"/>
    <mergeCell ref="N223:O223"/>
    <mergeCell ref="B208:I208"/>
    <mergeCell ref="J208:K208"/>
    <mergeCell ref="L208:M208"/>
    <mergeCell ref="N208:O208"/>
    <mergeCell ref="B209:I209"/>
    <mergeCell ref="J209:K209"/>
    <mergeCell ref="L209:M209"/>
    <mergeCell ref="N209:O209"/>
    <mergeCell ref="B210:I210"/>
    <mergeCell ref="J210:K210"/>
    <mergeCell ref="L210:M210"/>
    <mergeCell ref="N210:O210"/>
    <mergeCell ref="B211:I211"/>
    <mergeCell ref="J211:K211"/>
    <mergeCell ref="L211:M211"/>
    <mergeCell ref="N211:O211"/>
    <mergeCell ref="J130:K130"/>
    <mergeCell ref="G130:H130"/>
    <mergeCell ref="E131:H131"/>
    <mergeCell ref="B130:C130"/>
    <mergeCell ref="A113:B113"/>
    <mergeCell ref="A114:B114"/>
    <mergeCell ref="A115:B115"/>
    <mergeCell ref="C108:D108"/>
    <mergeCell ref="C109:D109"/>
    <mergeCell ref="E108:F108"/>
    <mergeCell ref="E115:F115"/>
    <mergeCell ref="E116:F116"/>
    <mergeCell ref="G108:H108"/>
    <mergeCell ref="I112:J112"/>
    <mergeCell ref="E112:F112"/>
    <mergeCell ref="M97:N97"/>
    <mergeCell ref="M98:N98"/>
    <mergeCell ref="M99:N99"/>
    <mergeCell ref="M100:N100"/>
    <mergeCell ref="M101:N101"/>
    <mergeCell ref="M102:N102"/>
    <mergeCell ref="O107:O108"/>
    <mergeCell ref="A107:B108"/>
    <mergeCell ref="K112:L112"/>
    <mergeCell ref="M109:N109"/>
    <mergeCell ref="M110:N110"/>
    <mergeCell ref="M111:N111"/>
    <mergeCell ref="M112:N112"/>
    <mergeCell ref="A112:B112"/>
    <mergeCell ref="B98:I98"/>
    <mergeCell ref="B99:I99"/>
    <mergeCell ref="B100:I100"/>
    <mergeCell ref="B101:I101"/>
    <mergeCell ref="B102:I102"/>
    <mergeCell ref="B103:I103"/>
    <mergeCell ref="K108:L108"/>
    <mergeCell ref="I109:J109"/>
    <mergeCell ref="I110:J110"/>
    <mergeCell ref="I111:J111"/>
    <mergeCell ref="B301:O301"/>
    <mergeCell ref="B303:O303"/>
    <mergeCell ref="B232:O232"/>
    <mergeCell ref="B239:O239"/>
    <mergeCell ref="B246:O246"/>
    <mergeCell ref="B253:O253"/>
    <mergeCell ref="B264:O264"/>
    <mergeCell ref="B270:O270"/>
    <mergeCell ref="A240:O240"/>
    <mergeCell ref="A233:O233"/>
    <mergeCell ref="A247:O247"/>
    <mergeCell ref="A254:O254"/>
    <mergeCell ref="A293:O293"/>
    <mergeCell ref="B278:O278"/>
    <mergeCell ref="B285:O285"/>
    <mergeCell ref="B292:O292"/>
    <mergeCell ref="E321:I321"/>
    <mergeCell ref="K321:O321"/>
    <mergeCell ref="A306:I309"/>
    <mergeCell ref="A320:D320"/>
    <mergeCell ref="A313:G313"/>
    <mergeCell ref="I313:O313"/>
    <mergeCell ref="I312:O312"/>
    <mergeCell ref="A312:G312"/>
    <mergeCell ref="E317:I317"/>
    <mergeCell ref="E318:I318"/>
    <mergeCell ref="K317:O317"/>
    <mergeCell ref="K318:O318"/>
    <mergeCell ref="E320:I320"/>
    <mergeCell ref="A317:D317"/>
    <mergeCell ref="K320:O320"/>
    <mergeCell ref="B206:I206"/>
    <mergeCell ref="J206:K206"/>
    <mergeCell ref="L206:M206"/>
    <mergeCell ref="B207:I207"/>
    <mergeCell ref="J207:K207"/>
    <mergeCell ref="L207:M207"/>
    <mergeCell ref="N207:O207"/>
    <mergeCell ref="B224:I224"/>
    <mergeCell ref="J224:K224"/>
    <mergeCell ref="L224:M224"/>
    <mergeCell ref="B216:I216"/>
    <mergeCell ref="B220:I220"/>
    <mergeCell ref="J220:K220"/>
    <mergeCell ref="L220:M220"/>
    <mergeCell ref="N220:O220"/>
    <mergeCell ref="B221:I221"/>
    <mergeCell ref="J221:K221"/>
    <mergeCell ref="L221:M221"/>
    <mergeCell ref="N221:O221"/>
    <mergeCell ref="B222:I222"/>
    <mergeCell ref="J222:K222"/>
    <mergeCell ref="L222:M222"/>
    <mergeCell ref="N222:O222"/>
    <mergeCell ref="B215:I215"/>
    <mergeCell ref="B225:I225"/>
    <mergeCell ref="J225:K225"/>
    <mergeCell ref="L225:M225"/>
    <mergeCell ref="N225:O225"/>
    <mergeCell ref="B226:I226"/>
    <mergeCell ref="J226:K226"/>
    <mergeCell ref="L226:M226"/>
    <mergeCell ref="N226:O226"/>
    <mergeCell ref="N224:O224"/>
    <mergeCell ref="B205:I205"/>
    <mergeCell ref="J205:K205"/>
    <mergeCell ref="L205:M205"/>
    <mergeCell ref="N205:O205"/>
    <mergeCell ref="N206:O206"/>
    <mergeCell ref="A265:O265"/>
    <mergeCell ref="A271:O271"/>
    <mergeCell ref="A279:O279"/>
    <mergeCell ref="A286:O286"/>
    <mergeCell ref="J216:K216"/>
    <mergeCell ref="L216:M216"/>
    <mergeCell ref="N216:O216"/>
    <mergeCell ref="B217:I217"/>
    <mergeCell ref="J217:K217"/>
    <mergeCell ref="L217:M217"/>
    <mergeCell ref="N217:O217"/>
    <mergeCell ref="B218:I218"/>
    <mergeCell ref="J218:K218"/>
    <mergeCell ref="L218:M218"/>
    <mergeCell ref="N218:O218"/>
    <mergeCell ref="B219:I219"/>
    <mergeCell ref="J219:K219"/>
    <mergeCell ref="L219:M219"/>
    <mergeCell ref="N219:O219"/>
    <mergeCell ref="J136:M136"/>
    <mergeCell ref="N136:Q136"/>
    <mergeCell ref="B137:I137"/>
    <mergeCell ref="J137:Q137"/>
    <mergeCell ref="B186:I186"/>
    <mergeCell ref="J186:Q186"/>
    <mergeCell ref="J204:K204"/>
    <mergeCell ref="L204:M204"/>
    <mergeCell ref="N204:O204"/>
    <mergeCell ref="B204:I204"/>
    <mergeCell ref="B165:I165"/>
    <mergeCell ref="J165:Q165"/>
    <mergeCell ref="B169:I169"/>
    <mergeCell ref="J169:Q169"/>
    <mergeCell ref="B173:I173"/>
    <mergeCell ref="J173:Q173"/>
    <mergeCell ref="B161:I161"/>
    <mergeCell ref="J161:Q161"/>
    <mergeCell ref="B157:I157"/>
    <mergeCell ref="J157:Q157"/>
    <mergeCell ref="B153:I153"/>
    <mergeCell ref="J153:Q153"/>
    <mergeCell ref="B149:I149"/>
    <mergeCell ref="M82:N82"/>
    <mergeCell ref="B83:I83"/>
    <mergeCell ref="M88:N88"/>
    <mergeCell ref="A109:B109"/>
    <mergeCell ref="A110:B110"/>
    <mergeCell ref="A111:B111"/>
    <mergeCell ref="N203:O203"/>
    <mergeCell ref="L203:M203"/>
    <mergeCell ref="J203:K203"/>
    <mergeCell ref="J202:O202"/>
    <mergeCell ref="B202:I203"/>
    <mergeCell ref="A202:A203"/>
    <mergeCell ref="B200:O200"/>
    <mergeCell ref="I116:J116"/>
    <mergeCell ref="K111:L111"/>
    <mergeCell ref="I113:J113"/>
    <mergeCell ref="I114:J114"/>
    <mergeCell ref="E113:F113"/>
    <mergeCell ref="E114:F114"/>
    <mergeCell ref="A135:A136"/>
    <mergeCell ref="B135:I135"/>
    <mergeCell ref="J135:Q135"/>
    <mergeCell ref="B136:E136"/>
    <mergeCell ref="F136:I136"/>
    <mergeCell ref="M80:N80"/>
    <mergeCell ref="B81:I81"/>
    <mergeCell ref="M81:N81"/>
    <mergeCell ref="A75:A76"/>
    <mergeCell ref="B75:I76"/>
    <mergeCell ref="J75:L75"/>
    <mergeCell ref="B77:I77"/>
    <mergeCell ref="B86:I86"/>
    <mergeCell ref="C110:D110"/>
    <mergeCell ref="B87:I87"/>
    <mergeCell ref="B88:I88"/>
    <mergeCell ref="C107:N107"/>
    <mergeCell ref="E109:F109"/>
    <mergeCell ref="E110:F110"/>
    <mergeCell ref="I108:J108"/>
    <mergeCell ref="M108:N108"/>
    <mergeCell ref="K109:L109"/>
    <mergeCell ref="K110:L110"/>
    <mergeCell ref="M103:N103"/>
    <mergeCell ref="M94:N94"/>
    <mergeCell ref="M95:N95"/>
    <mergeCell ref="M96:N96"/>
    <mergeCell ref="M87:N87"/>
    <mergeCell ref="B82:I82"/>
    <mergeCell ref="M115:N115"/>
    <mergeCell ref="G109:H109"/>
    <mergeCell ref="G110:H110"/>
    <mergeCell ref="G111:H111"/>
    <mergeCell ref="G112:H112"/>
    <mergeCell ref="G113:H113"/>
    <mergeCell ref="G115:H115"/>
    <mergeCell ref="G116:H116"/>
    <mergeCell ref="C114:D114"/>
    <mergeCell ref="I115:J115"/>
    <mergeCell ref="C115:D115"/>
    <mergeCell ref="C116:D116"/>
    <mergeCell ref="K113:L113"/>
    <mergeCell ref="K114:L114"/>
    <mergeCell ref="K115:L115"/>
    <mergeCell ref="K116:L116"/>
    <mergeCell ref="M113:N113"/>
    <mergeCell ref="M114:N114"/>
    <mergeCell ref="M116:N116"/>
    <mergeCell ref="C111:D111"/>
    <mergeCell ref="C112:D112"/>
    <mergeCell ref="E111:F111"/>
    <mergeCell ref="B62:H62"/>
    <mergeCell ref="B66:D66"/>
    <mergeCell ref="F66:H66"/>
    <mergeCell ref="J66:K66"/>
    <mergeCell ref="G114:H114"/>
    <mergeCell ref="M86:N86"/>
    <mergeCell ref="C113:D113"/>
    <mergeCell ref="B73:O73"/>
    <mergeCell ref="B67:F67"/>
    <mergeCell ref="B69:F69"/>
    <mergeCell ref="H69:L69"/>
    <mergeCell ref="M83:N83"/>
    <mergeCell ref="B84:I84"/>
    <mergeCell ref="M84:N84"/>
    <mergeCell ref="B85:I85"/>
    <mergeCell ref="M85:N85"/>
    <mergeCell ref="M75:N76"/>
    <mergeCell ref="O75:O76"/>
    <mergeCell ref="M77:N77"/>
    <mergeCell ref="B78:I78"/>
    <mergeCell ref="M78:N78"/>
    <mergeCell ref="B79:I79"/>
    <mergeCell ref="M79:N79"/>
    <mergeCell ref="B80:I80"/>
    <mergeCell ref="A17:O17"/>
    <mergeCell ref="A18:O18"/>
    <mergeCell ref="A54:O54"/>
    <mergeCell ref="A55:H55"/>
    <mergeCell ref="I55:O55"/>
    <mergeCell ref="I60:O60"/>
    <mergeCell ref="A1:O1"/>
    <mergeCell ref="A2:O2"/>
    <mergeCell ref="A3:O3"/>
    <mergeCell ref="A19:O19"/>
    <mergeCell ref="A21:O21"/>
    <mergeCell ref="A52:O52"/>
    <mergeCell ref="A53:O53"/>
    <mergeCell ref="A15:O15"/>
    <mergeCell ref="A16:O16"/>
    <mergeCell ref="B58:E58"/>
    <mergeCell ref="F58:P58"/>
    <mergeCell ref="B60:H60"/>
    <mergeCell ref="B230:I230"/>
    <mergeCell ref="J230:K230"/>
    <mergeCell ref="L230:M230"/>
    <mergeCell ref="B227:I227"/>
    <mergeCell ref="J227:K227"/>
    <mergeCell ref="L227:M227"/>
    <mergeCell ref="N227:O227"/>
    <mergeCell ref="B228:I228"/>
    <mergeCell ref="J228:K228"/>
    <mergeCell ref="L228:M228"/>
    <mergeCell ref="N228:O228"/>
    <mergeCell ref="B229:I229"/>
    <mergeCell ref="J229:K229"/>
    <mergeCell ref="L229:M229"/>
    <mergeCell ref="N229:O229"/>
    <mergeCell ref="N230:O230"/>
  </mergeCells>
  <pageMargins left="0.59055118110236227" right="0.31496062992125984" top="0.31496062992125984" bottom="0.51181102362204722" header="0" footer="0.19685039370078741"/>
  <pageSetup paperSize="9" orientation="portrait" verticalDpi="300" r:id="rId1"/>
  <rowBreaks count="1" manualBreakCount="1">
    <brk id="53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9A9688CA-5EBB-44B2-B614-4D63910F5109}">
            <xm:f>IF(ISBLANK('C:\Users\User\Documents\20180214-17_ПервенствоКрая2005-2006\[20180214-17_ПервенствоКрая2005-2006-04.xlsm]Стартовый протокол'!#REF!),FALSE,IF(IF(ISNUMBER('C:\Users\User\Documents\20180214-17_ПервенствоКрая2005-2006\[20180214-17_ПервенствоКрая2005-2006-04.xlsm]Стартовый протокол'!#REF!),IF(YEAR(TODAY())-'C:\Users\User\Documents\20180214-17_ПервенствоКрая2005-2006\[20180214-17_ПервенствоКрая2005-2006-04.xlsm]Стартовый протокол'!#REF!&lt;='C:\Users\User\Documents\20180214-17_ПервенствоКрая2005-2006\[20180214-17_ПервенствоКрая2005-2006-04.xlsm]Стартовый протокол'!#REF!,FALSE,TRUE),FALSE),TRUE,IF(ISNUMBER('C:\Users\User\Documents\20180214-17_ПервенствоКрая2005-2006\[20180214-17_ПервенствоКрая2005-2006-04.xlsm]Стартовый протокол'!#REF!),IF(YEAR(TODAY())-'C:\Users\User\Documents\20180214-17_ПервенствоКрая2005-2006\[20180214-17_ПервенствоКрая2005-2006-04.xlsm]Стартовый протокол'!#REF!&lt;'C:\Users\User\Documents\20180214-17_ПервенствоКрая2005-2006\[20180214-17_ПервенствоКрая2005-2006-04.xlsm]Стартовый протокол'!#REF!,TRUE,FALSE),FALSE)))</xm:f>
            <x14:dxf>
              <font>
                <color rgb="FFFFFF00"/>
              </font>
              <fill>
                <patternFill>
                  <bgColor rgb="FFFF0000"/>
                </patternFill>
              </fill>
            </x14:dxf>
          </x14:cfRule>
          <xm:sqref>W198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Лист3"/>
  <dimension ref="A1:TC67"/>
  <sheetViews>
    <sheetView topLeftCell="A31" workbookViewId="0">
      <selection activeCell="U17" sqref="U17"/>
    </sheetView>
  </sheetViews>
  <sheetFormatPr defaultRowHeight="15"/>
  <cols>
    <col min="2" max="2" width="7.53125" customWidth="1"/>
    <col min="8" max="8" width="9.14453125" style="364"/>
  </cols>
  <sheetData>
    <row r="1" spans="1:16" ht="12.75" customHeight="1">
      <c r="A1" s="6"/>
      <c r="B1" s="768"/>
      <c r="C1" s="7"/>
      <c r="D1" s="768"/>
      <c r="E1" s="768"/>
      <c r="F1" s="768"/>
      <c r="G1" s="768"/>
      <c r="H1" s="768"/>
      <c r="I1" s="768"/>
      <c r="J1" s="768"/>
      <c r="K1" s="768"/>
      <c r="L1" s="36"/>
      <c r="M1" s="36"/>
      <c r="N1" s="69"/>
    </row>
    <row r="2" spans="1:16" ht="12.75" customHeight="1">
      <c r="A2" s="6"/>
      <c r="B2" s="768"/>
      <c r="C2" s="7"/>
      <c r="D2" s="768"/>
      <c r="E2" s="768"/>
      <c r="F2" s="768"/>
      <c r="G2" s="768"/>
      <c r="H2" s="768"/>
      <c r="I2" s="768"/>
      <c r="J2" s="768"/>
      <c r="K2" s="768"/>
      <c r="L2" s="36"/>
      <c r="M2" s="36"/>
      <c r="N2" s="69"/>
    </row>
    <row r="3" spans="1:16" ht="12.75" customHeight="1">
      <c r="A3" s="6"/>
      <c r="B3" s="768"/>
      <c r="C3" s="7"/>
      <c r="D3" s="768"/>
      <c r="E3" s="768"/>
      <c r="F3" s="768"/>
      <c r="G3" s="768"/>
      <c r="H3" s="768"/>
      <c r="I3" s="768"/>
      <c r="J3" s="768"/>
      <c r="K3" s="768"/>
      <c r="L3" s="36"/>
      <c r="M3" s="36"/>
      <c r="N3" s="69"/>
    </row>
    <row r="4" spans="1:16" ht="12" customHeight="1">
      <c r="A4" s="771" t="s">
        <v>98</v>
      </c>
      <c r="B4" s="769"/>
      <c r="C4" s="769"/>
      <c r="D4" s="769"/>
      <c r="E4" s="769"/>
      <c r="F4" s="769"/>
      <c r="G4" s="769"/>
      <c r="H4" s="769"/>
      <c r="I4" s="769"/>
      <c r="J4" s="769"/>
      <c r="K4" s="769"/>
      <c r="L4" s="36"/>
      <c r="M4" s="36"/>
      <c r="N4" s="69"/>
    </row>
    <row r="5" spans="1:16" ht="12" customHeight="1">
      <c r="A5" s="771"/>
      <c r="B5" s="769"/>
      <c r="C5" s="769"/>
      <c r="D5" s="769"/>
      <c r="E5" s="769"/>
      <c r="F5" s="769"/>
      <c r="G5" s="769"/>
      <c r="H5" s="769"/>
      <c r="I5" s="769"/>
      <c r="J5" s="769"/>
      <c r="K5" s="769"/>
      <c r="L5" s="36"/>
      <c r="M5" s="36"/>
      <c r="N5" s="69"/>
    </row>
    <row r="6" spans="1:16" ht="12" customHeight="1">
      <c r="A6" s="8"/>
      <c r="B6" s="10"/>
      <c r="C6" s="7"/>
      <c r="D6" s="7"/>
      <c r="E6" s="9"/>
      <c r="F6" s="7"/>
      <c r="G6" s="7"/>
      <c r="H6" s="36"/>
      <c r="I6" s="36"/>
      <c r="J6" s="9"/>
      <c r="K6" s="11"/>
      <c r="L6" s="36"/>
      <c r="M6" s="36"/>
      <c r="N6" s="69"/>
    </row>
    <row r="7" spans="1:16" ht="20.25" customHeight="1">
      <c r="A7" s="770" t="s">
        <v>54</v>
      </c>
      <c r="B7" s="770"/>
      <c r="C7" s="770"/>
      <c r="D7" s="770"/>
      <c r="E7" s="770"/>
      <c r="F7" s="770"/>
      <c r="G7" s="770"/>
      <c r="H7" s="770"/>
      <c r="I7" s="770"/>
      <c r="J7" s="770"/>
      <c r="K7" s="770"/>
      <c r="L7" s="37"/>
      <c r="M7" s="37"/>
      <c r="N7" s="70"/>
    </row>
    <row r="8" spans="1:16" ht="39.75" customHeight="1">
      <c r="A8" s="20" t="s">
        <v>55</v>
      </c>
      <c r="B8" s="21" t="s">
        <v>5</v>
      </c>
      <c r="C8" s="1643" t="s">
        <v>3</v>
      </c>
      <c r="D8" s="1644"/>
      <c r="E8" s="21" t="s">
        <v>4</v>
      </c>
      <c r="F8" s="1643" t="s">
        <v>6</v>
      </c>
      <c r="G8" s="1645"/>
      <c r="H8" s="1646" t="s">
        <v>56</v>
      </c>
      <c r="I8" s="1647"/>
      <c r="J8" s="1643" t="s">
        <v>8</v>
      </c>
      <c r="K8" s="1645"/>
      <c r="L8" s="37"/>
      <c r="M8" s="37"/>
      <c r="N8" s="70"/>
    </row>
    <row r="9" spans="1:16" ht="12" customHeight="1">
      <c r="A9" s="6"/>
      <c r="B9" s="10"/>
      <c r="C9" s="7"/>
      <c r="D9" s="7"/>
      <c r="E9" s="9"/>
      <c r="F9" s="7"/>
      <c r="G9" s="7"/>
      <c r="H9" s="38"/>
      <c r="I9" s="39"/>
      <c r="J9" s="9"/>
      <c r="K9" s="22"/>
      <c r="L9" s="36"/>
      <c r="M9" s="36"/>
      <c r="N9" s="69"/>
    </row>
    <row r="10" spans="1:16" ht="14.25" customHeight="1">
      <c r="A10" s="71"/>
      <c r="B10" s="43"/>
      <c r="C10" s="40" t="s">
        <v>78</v>
      </c>
      <c r="D10" s="41"/>
      <c r="E10" s="42"/>
      <c r="F10" s="41"/>
      <c r="G10" s="41"/>
      <c r="H10" s="44"/>
      <c r="I10" s="24"/>
      <c r="J10" s="42"/>
      <c r="K10" s="45"/>
      <c r="L10" s="72"/>
      <c r="M10" s="41"/>
      <c r="N10" s="42"/>
    </row>
    <row r="11" spans="1:16" ht="15" customHeight="1">
      <c r="A11" s="73"/>
      <c r="B11" s="75" t="s">
        <v>99</v>
      </c>
      <c r="C11" s="46"/>
      <c r="D11" s="47"/>
      <c r="E11" s="28"/>
      <c r="F11" s="47"/>
      <c r="G11" s="47"/>
      <c r="H11" s="48"/>
      <c r="I11" s="24"/>
      <c r="J11" s="47"/>
      <c r="K11" s="61"/>
      <c r="L11" s="74"/>
      <c r="M11" s="28"/>
      <c r="N11" s="28"/>
      <c r="P11" t="s">
        <v>274</v>
      </c>
    </row>
    <row r="12" spans="1:16" ht="15" customHeight="1">
      <c r="A12" s="73"/>
      <c r="C12" s="46"/>
      <c r="D12" s="522" t="s">
        <v>58</v>
      </c>
      <c r="E12" s="523">
        <f>INT(A13/10)</f>
        <v>0</v>
      </c>
      <c r="F12" s="47"/>
      <c r="G12" s="47"/>
      <c r="H12" s="48"/>
      <c r="I12" s="24"/>
      <c r="J12" s="47"/>
      <c r="K12" s="61"/>
      <c r="L12" s="74"/>
      <c r="M12" s="76" t="s">
        <v>100</v>
      </c>
      <c r="N12" s="28" t="s">
        <v>101</v>
      </c>
      <c r="P12" s="193" t="s">
        <v>221</v>
      </c>
    </row>
    <row r="13" spans="1:16" ht="15" customHeight="1">
      <c r="A13" s="73">
        <v>1</v>
      </c>
      <c r="B13" s="18"/>
      <c r="C13" s="46"/>
      <c r="D13" s="47"/>
      <c r="E13" s="28"/>
      <c r="F13" s="47"/>
      <c r="G13" s="47"/>
      <c r="H13" s="48"/>
      <c r="I13" s="24"/>
      <c r="J13" s="47"/>
      <c r="K13" s="61"/>
      <c r="L13" s="74"/>
      <c r="M13" s="28">
        <f>IF(MOD($A13,6)=1,6,IF(MOD($A13,6)=2,1,IF(MOD($A13,6)=3,5,IF(MOD($A13,6)=4,2,IF(MOD($A13,6)=5,4,IF(MOD($A13,6)=0,3))))))</f>
        <v>6</v>
      </c>
      <c r="N13" s="28">
        <f t="shared" ref="N13:N18" si="0">M13+10</f>
        <v>16</v>
      </c>
      <c r="P13" s="50">
        <f t="shared" ref="P13:P23" si="1">IF(MOD($A13,10)&lt;10,MOD($A13,10),IF($A13/10&gt;8,MOD($A13,80),IF($A13/10&gt;7,MOD($A13,70),IF($A13/10&gt;6,MOD($A13,60),IF($A13/10&gt;5,MOD($A13,50),IF($A13/10&gt;4,MOD($A13,40),IF($A13/10&gt;3,MOD($A13,30),IF($A13/10&gt;2,MOD($A13,20),MOD($A13,100)))))))))</f>
        <v>1</v>
      </c>
    </row>
    <row r="14" spans="1:16" ht="15" customHeight="1">
      <c r="A14" s="77">
        <f t="shared" ref="A14:A24" si="2">A13+1</f>
        <v>2</v>
      </c>
      <c r="B14" s="18"/>
      <c r="C14" s="46"/>
      <c r="D14" s="78"/>
      <c r="E14" s="28"/>
      <c r="F14" s="47"/>
      <c r="G14" s="47"/>
      <c r="H14" s="48"/>
      <c r="I14" s="24"/>
      <c r="J14" s="47"/>
      <c r="K14" s="61"/>
      <c r="L14" s="74"/>
      <c r="M14" s="28">
        <f t="shared" ref="M14:M24" si="3">IF(MOD($A14,6)=1,6,IF(MOD($A14,6)=2,1,IF(MOD($A14,6)=3,5,IF(MOD($A14,6)=4,2,IF(MOD($A14,6)=5,4,IF(MOD($A14,6)=0,3))))))</f>
        <v>1</v>
      </c>
      <c r="N14" s="28">
        <f t="shared" si="0"/>
        <v>11</v>
      </c>
      <c r="P14" s="50">
        <f t="shared" si="1"/>
        <v>2</v>
      </c>
    </row>
    <row r="15" spans="1:16" ht="12" customHeight="1">
      <c r="A15" s="77">
        <f t="shared" si="2"/>
        <v>3</v>
      </c>
      <c r="B15" s="33" t="s">
        <v>29</v>
      </c>
      <c r="C15" s="51" t="s">
        <v>28</v>
      </c>
      <c r="D15" s="12"/>
      <c r="E15" s="31">
        <v>2002</v>
      </c>
      <c r="F15" s="23" t="s">
        <v>20</v>
      </c>
      <c r="G15" s="53"/>
      <c r="H15" s="52">
        <v>30</v>
      </c>
      <c r="I15" s="12"/>
      <c r="J15" s="33"/>
      <c r="K15" s="12"/>
      <c r="L15" s="12"/>
      <c r="M15" s="28">
        <f t="shared" si="3"/>
        <v>5</v>
      </c>
      <c r="N15" s="28">
        <f t="shared" si="0"/>
        <v>15</v>
      </c>
      <c r="P15" s="50">
        <f t="shared" si="1"/>
        <v>3</v>
      </c>
    </row>
    <row r="16" spans="1:16" ht="12" customHeight="1">
      <c r="A16" s="77">
        <f t="shared" si="2"/>
        <v>4</v>
      </c>
      <c r="B16" s="18" t="s">
        <v>35</v>
      </c>
      <c r="C16" s="51" t="s">
        <v>34</v>
      </c>
      <c r="D16" s="12"/>
      <c r="E16" s="31">
        <v>2002</v>
      </c>
      <c r="F16" s="23" t="s">
        <v>20</v>
      </c>
      <c r="G16" s="53"/>
      <c r="H16" s="52">
        <v>30</v>
      </c>
      <c r="I16" s="12"/>
      <c r="J16" s="33"/>
      <c r="K16" s="12"/>
      <c r="L16" s="12"/>
      <c r="M16" s="28">
        <f t="shared" si="3"/>
        <v>2</v>
      </c>
      <c r="N16" s="28">
        <f t="shared" si="0"/>
        <v>12</v>
      </c>
      <c r="P16" s="50">
        <f t="shared" si="1"/>
        <v>4</v>
      </c>
    </row>
    <row r="17" spans="1:16" ht="12" customHeight="1">
      <c r="A17" s="77">
        <f t="shared" si="2"/>
        <v>5</v>
      </c>
      <c r="B17" s="18" t="s">
        <v>11</v>
      </c>
      <c r="C17" s="51" t="s">
        <v>73</v>
      </c>
      <c r="D17" s="12"/>
      <c r="E17" s="31">
        <v>2000</v>
      </c>
      <c r="F17" s="23" t="s">
        <v>20</v>
      </c>
      <c r="G17" s="53"/>
      <c r="H17" s="52">
        <v>29.8</v>
      </c>
      <c r="I17" s="12"/>
      <c r="J17" s="33"/>
      <c r="K17" s="12"/>
      <c r="L17" s="12"/>
      <c r="M17" s="28">
        <f t="shared" si="3"/>
        <v>4</v>
      </c>
      <c r="N17" s="28">
        <f t="shared" si="0"/>
        <v>14</v>
      </c>
      <c r="P17" s="50">
        <f t="shared" si="1"/>
        <v>5</v>
      </c>
    </row>
    <row r="18" spans="1:16" ht="12" customHeight="1">
      <c r="A18" s="77">
        <f t="shared" si="2"/>
        <v>6</v>
      </c>
      <c r="B18" s="33" t="s">
        <v>23</v>
      </c>
      <c r="C18" s="51" t="s">
        <v>44</v>
      </c>
      <c r="D18" s="12"/>
      <c r="E18" s="31">
        <v>1999</v>
      </c>
      <c r="F18" s="23" t="s">
        <v>20</v>
      </c>
      <c r="G18" s="53"/>
      <c r="H18" s="52">
        <v>29.7</v>
      </c>
      <c r="I18" s="12"/>
      <c r="J18" s="33"/>
      <c r="K18" s="12" t="s">
        <v>12</v>
      </c>
      <c r="L18" s="12"/>
      <c r="M18" s="28">
        <f t="shared" si="3"/>
        <v>3</v>
      </c>
      <c r="N18" s="28">
        <f t="shared" si="0"/>
        <v>13</v>
      </c>
      <c r="P18" s="50">
        <f t="shared" si="1"/>
        <v>6</v>
      </c>
    </row>
    <row r="19" spans="1:16" ht="12" customHeight="1">
      <c r="A19" s="77">
        <f t="shared" si="2"/>
        <v>7</v>
      </c>
      <c r="B19" s="18" t="s">
        <v>10</v>
      </c>
      <c r="C19" s="51" t="s">
        <v>75</v>
      </c>
      <c r="D19" s="12"/>
      <c r="E19" s="31">
        <v>1999</v>
      </c>
      <c r="F19" s="23" t="s">
        <v>20</v>
      </c>
      <c r="G19" s="53"/>
      <c r="H19" s="52">
        <v>29.7</v>
      </c>
      <c r="I19" s="12"/>
      <c r="J19" s="33"/>
      <c r="K19" s="12" t="s">
        <v>12</v>
      </c>
      <c r="L19" s="12"/>
      <c r="M19" s="28">
        <f t="shared" si="3"/>
        <v>6</v>
      </c>
      <c r="N19" s="10">
        <f t="shared" ref="N19:N24" si="4">N13+10</f>
        <v>26</v>
      </c>
      <c r="O19" t="s">
        <v>271</v>
      </c>
      <c r="P19" s="50">
        <f t="shared" si="1"/>
        <v>7</v>
      </c>
    </row>
    <row r="20" spans="1:16" ht="12" customHeight="1">
      <c r="A20" s="77">
        <f t="shared" si="2"/>
        <v>8</v>
      </c>
      <c r="B20" s="33" t="s">
        <v>23</v>
      </c>
      <c r="C20" s="51" t="s">
        <v>22</v>
      </c>
      <c r="D20" s="12"/>
      <c r="E20" s="31">
        <v>1999</v>
      </c>
      <c r="F20" s="23" t="s">
        <v>20</v>
      </c>
      <c r="G20" s="53"/>
      <c r="H20" s="52">
        <v>29.5</v>
      </c>
      <c r="I20" s="12"/>
      <c r="J20" s="33"/>
      <c r="K20" s="79"/>
      <c r="L20" s="12"/>
      <c r="M20" s="28">
        <f t="shared" si="3"/>
        <v>1</v>
      </c>
      <c r="N20" s="10">
        <f t="shared" si="4"/>
        <v>21</v>
      </c>
      <c r="P20" s="50">
        <f t="shared" si="1"/>
        <v>8</v>
      </c>
    </row>
    <row r="21" spans="1:16" ht="12" customHeight="1">
      <c r="A21" s="77">
        <f t="shared" si="2"/>
        <v>9</v>
      </c>
      <c r="B21" s="33" t="s">
        <v>13</v>
      </c>
      <c r="C21" s="51" t="s">
        <v>41</v>
      </c>
      <c r="D21" s="12"/>
      <c r="E21" s="31">
        <v>2003</v>
      </c>
      <c r="F21" s="23" t="s">
        <v>20</v>
      </c>
      <c r="G21" s="53"/>
      <c r="H21" s="52">
        <v>27.5</v>
      </c>
      <c r="I21" s="12"/>
      <c r="J21" s="33"/>
      <c r="K21" s="12"/>
      <c r="L21" s="12"/>
      <c r="M21" s="28">
        <f t="shared" si="3"/>
        <v>5</v>
      </c>
      <c r="N21" s="10">
        <f t="shared" si="4"/>
        <v>25</v>
      </c>
      <c r="P21" s="50">
        <f t="shared" si="1"/>
        <v>9</v>
      </c>
    </row>
    <row r="22" spans="1:16" ht="12" customHeight="1">
      <c r="A22" s="77">
        <f t="shared" si="2"/>
        <v>10</v>
      </c>
      <c r="B22" s="18" t="s">
        <v>35</v>
      </c>
      <c r="C22" s="51" t="s">
        <v>80</v>
      </c>
      <c r="D22" s="12"/>
      <c r="E22" s="31">
        <v>1996</v>
      </c>
      <c r="F22" s="23" t="s">
        <v>20</v>
      </c>
      <c r="G22" s="53"/>
      <c r="H22" s="52">
        <v>20.399999999999999</v>
      </c>
      <c r="I22" s="12"/>
      <c r="J22" s="33"/>
      <c r="K22" s="12"/>
      <c r="L22" s="12"/>
      <c r="M22" s="28">
        <f t="shared" si="3"/>
        <v>2</v>
      </c>
      <c r="N22" s="10">
        <f t="shared" si="4"/>
        <v>22</v>
      </c>
      <c r="P22" s="50">
        <f t="shared" si="1"/>
        <v>0</v>
      </c>
    </row>
    <row r="23" spans="1:16" ht="12" customHeight="1">
      <c r="A23" s="77">
        <f t="shared" si="2"/>
        <v>11</v>
      </c>
      <c r="B23" s="33" t="s">
        <v>1</v>
      </c>
      <c r="C23" s="51" t="s">
        <v>33</v>
      </c>
      <c r="D23" s="12"/>
      <c r="E23" s="31">
        <v>2001</v>
      </c>
      <c r="F23" s="23" t="s">
        <v>20</v>
      </c>
      <c r="G23" s="53"/>
      <c r="H23" s="52">
        <v>20</v>
      </c>
      <c r="I23" s="12"/>
      <c r="J23" s="33"/>
      <c r="K23" s="12"/>
      <c r="L23" s="12"/>
      <c r="M23" s="28">
        <f t="shared" si="3"/>
        <v>4</v>
      </c>
      <c r="N23" s="10">
        <f t="shared" si="4"/>
        <v>24</v>
      </c>
      <c r="P23" s="50">
        <f t="shared" si="1"/>
        <v>1</v>
      </c>
    </row>
    <row r="24" spans="1:16" ht="12" customHeight="1">
      <c r="A24" s="77">
        <f t="shared" si="2"/>
        <v>12</v>
      </c>
      <c r="B24" s="33" t="s">
        <v>29</v>
      </c>
      <c r="C24" s="51" t="s">
        <v>48</v>
      </c>
      <c r="D24" s="12"/>
      <c r="E24" s="31">
        <v>2004</v>
      </c>
      <c r="F24" s="23" t="s">
        <v>20</v>
      </c>
      <c r="G24" s="53"/>
      <c r="H24" s="52">
        <v>18.7</v>
      </c>
      <c r="I24" s="12"/>
      <c r="J24" s="33"/>
      <c r="K24" s="12"/>
      <c r="L24" s="12"/>
      <c r="M24" s="28">
        <f t="shared" si="3"/>
        <v>3</v>
      </c>
      <c r="N24" s="10">
        <f t="shared" si="4"/>
        <v>23</v>
      </c>
    </row>
    <row r="25" spans="1:16" ht="12.75" customHeight="1">
      <c r="A25" s="1"/>
      <c r="B25" s="75" t="s">
        <v>102</v>
      </c>
      <c r="C25" s="2"/>
      <c r="D25" s="2"/>
      <c r="E25" s="3"/>
      <c r="F25" s="2"/>
      <c r="G25" s="2"/>
      <c r="H25" s="58"/>
      <c r="I25" s="58"/>
      <c r="J25" s="3"/>
      <c r="K25" s="5"/>
      <c r="L25" s="60"/>
      <c r="M25" s="60"/>
      <c r="N25" s="59"/>
    </row>
    <row r="26" spans="1:16" ht="15" customHeight="1">
      <c r="A26" s="73"/>
      <c r="C26" s="46"/>
      <c r="D26" s="522" t="s">
        <v>58</v>
      </c>
      <c r="E26" s="523">
        <f>INT(A27/10)</f>
        <v>0</v>
      </c>
      <c r="F26" s="47"/>
      <c r="G26" s="47"/>
      <c r="H26" s="48"/>
      <c r="I26" s="24"/>
      <c r="J26" s="47"/>
      <c r="K26" s="61"/>
      <c r="L26" s="74"/>
      <c r="M26" s="28"/>
      <c r="N26" s="28"/>
    </row>
    <row r="27" spans="1:16" ht="15" customHeight="1">
      <c r="A27" s="73">
        <v>1</v>
      </c>
      <c r="B27" s="18"/>
      <c r="C27" s="46"/>
      <c r="D27" s="47"/>
      <c r="E27" s="28"/>
      <c r="F27" s="47"/>
      <c r="G27" s="47"/>
      <c r="H27" s="48"/>
      <c r="I27" s="24"/>
      <c r="J27" s="47"/>
      <c r="K27" s="61"/>
      <c r="L27" s="74"/>
      <c r="M27" s="28">
        <f>IF(MOD($A27,8)=1,8,IF(MOD($A27,8)=2,1,IF(MOD($A27,8)=3,7,IF(MOD($A27,8)=4,2,IF(MOD($A27,8)=5,6,IF(MOD($A27,8)=6,3,IF(MOD($A27,8)=7,5,IF(MOD($A27,8)=0,4))))))))</f>
        <v>8</v>
      </c>
      <c r="N27" s="28">
        <f>M27+10</f>
        <v>18</v>
      </c>
    </row>
    <row r="28" spans="1:16" ht="15" customHeight="1">
      <c r="A28" s="77">
        <f t="shared" ref="A28:A42" si="5">A27+1</f>
        <v>2</v>
      </c>
      <c r="B28" s="18"/>
      <c r="C28" s="46"/>
      <c r="D28" s="78"/>
      <c r="E28" s="28"/>
      <c r="F28" s="47"/>
      <c r="G28" s="47"/>
      <c r="H28" s="48"/>
      <c r="I28" s="24"/>
      <c r="J28" s="47"/>
      <c r="K28" s="61"/>
      <c r="L28" s="74"/>
      <c r="M28" s="28">
        <f t="shared" ref="M28:M42" si="6">IF(MOD($A28,8)=1,8,IF(MOD($A28,8)=2,1,IF(MOD($A28,8)=3,7,IF(MOD($A28,8)=4,2,IF(MOD($A28,8)=5,6,IF(MOD($A28,8)=6,3,IF(MOD($A28,8)=7,5,IF(MOD($A28,8)=0,4))))))))</f>
        <v>1</v>
      </c>
      <c r="N28" s="28">
        <f t="shared" ref="N28:N34" si="7">M28+10</f>
        <v>11</v>
      </c>
    </row>
    <row r="29" spans="1:16" ht="15" customHeight="1">
      <c r="A29" s="77">
        <f t="shared" si="5"/>
        <v>3</v>
      </c>
      <c r="B29" s="18"/>
      <c r="C29" s="46"/>
      <c r="D29" s="78"/>
      <c r="E29" s="28"/>
      <c r="F29" s="47"/>
      <c r="G29" s="47"/>
      <c r="H29" s="48"/>
      <c r="I29" s="24"/>
      <c r="J29" s="47"/>
      <c r="K29" s="61"/>
      <c r="L29" s="74"/>
      <c r="M29" s="28">
        <f t="shared" si="6"/>
        <v>7</v>
      </c>
      <c r="N29" s="28">
        <f t="shared" si="7"/>
        <v>17</v>
      </c>
    </row>
    <row r="30" spans="1:16" ht="12" customHeight="1">
      <c r="A30" s="77">
        <f t="shared" si="5"/>
        <v>4</v>
      </c>
      <c r="B30" s="33" t="s">
        <v>29</v>
      </c>
      <c r="C30" s="51" t="s">
        <v>28</v>
      </c>
      <c r="D30" s="12"/>
      <c r="E30" s="31">
        <v>2002</v>
      </c>
      <c r="F30" s="23" t="s">
        <v>20</v>
      </c>
      <c r="G30" s="53"/>
      <c r="H30" s="52">
        <v>30</v>
      </c>
      <c r="I30" s="12"/>
      <c r="J30" s="33"/>
      <c r="K30" s="12"/>
      <c r="L30" s="12"/>
      <c r="M30" s="28">
        <f t="shared" si="6"/>
        <v>2</v>
      </c>
      <c r="N30" s="28">
        <f t="shared" si="7"/>
        <v>12</v>
      </c>
    </row>
    <row r="31" spans="1:16" ht="12" customHeight="1">
      <c r="A31" s="77">
        <f t="shared" si="5"/>
        <v>5</v>
      </c>
      <c r="B31" s="18" t="s">
        <v>35</v>
      </c>
      <c r="C31" s="51" t="s">
        <v>34</v>
      </c>
      <c r="D31" s="12"/>
      <c r="E31" s="31">
        <v>2002</v>
      </c>
      <c r="F31" s="23" t="s">
        <v>20</v>
      </c>
      <c r="G31" s="53"/>
      <c r="H31" s="52">
        <v>30</v>
      </c>
      <c r="I31" s="12"/>
      <c r="J31" s="33"/>
      <c r="K31" s="12"/>
      <c r="L31" s="12"/>
      <c r="M31" s="28">
        <f t="shared" si="6"/>
        <v>6</v>
      </c>
      <c r="N31" s="28">
        <f t="shared" si="7"/>
        <v>16</v>
      </c>
    </row>
    <row r="32" spans="1:16" ht="12" customHeight="1">
      <c r="A32" s="77">
        <f t="shared" si="5"/>
        <v>6</v>
      </c>
      <c r="B32" s="18" t="s">
        <v>10</v>
      </c>
      <c r="C32" s="51" t="s">
        <v>36</v>
      </c>
      <c r="D32" s="12"/>
      <c r="E32" s="31">
        <v>1998</v>
      </c>
      <c r="F32" s="23" t="s">
        <v>20</v>
      </c>
      <c r="G32" s="53"/>
      <c r="H32" s="52">
        <v>30</v>
      </c>
      <c r="I32" s="12"/>
      <c r="J32" s="33"/>
      <c r="K32" s="12"/>
      <c r="L32" s="12"/>
      <c r="M32" s="28">
        <f t="shared" si="6"/>
        <v>3</v>
      </c>
      <c r="N32" s="28">
        <f t="shared" si="7"/>
        <v>13</v>
      </c>
    </row>
    <row r="33" spans="1:103" ht="12" customHeight="1">
      <c r="A33" s="77">
        <f t="shared" si="5"/>
        <v>7</v>
      </c>
      <c r="B33" s="33" t="s">
        <v>1</v>
      </c>
      <c r="C33" s="51" t="s">
        <v>40</v>
      </c>
      <c r="D33" s="12"/>
      <c r="E33" s="31">
        <v>2002</v>
      </c>
      <c r="F33" s="23" t="s">
        <v>20</v>
      </c>
      <c r="G33" s="53"/>
      <c r="H33" s="52">
        <v>30</v>
      </c>
      <c r="I33" s="12"/>
      <c r="J33" s="33"/>
      <c r="K33" s="12"/>
      <c r="L33" s="12"/>
      <c r="M33" s="28">
        <f t="shared" si="6"/>
        <v>5</v>
      </c>
      <c r="N33" s="28">
        <f t="shared" si="7"/>
        <v>15</v>
      </c>
    </row>
    <row r="34" spans="1:103" ht="12" customHeight="1">
      <c r="A34" s="77">
        <f t="shared" si="5"/>
        <v>8</v>
      </c>
      <c r="B34" s="33" t="s">
        <v>27</v>
      </c>
      <c r="C34" s="51" t="s">
        <v>46</v>
      </c>
      <c r="D34" s="12"/>
      <c r="E34" s="31">
        <v>2001</v>
      </c>
      <c r="F34" s="23" t="s">
        <v>20</v>
      </c>
      <c r="G34" s="53"/>
      <c r="H34" s="52">
        <v>30</v>
      </c>
      <c r="I34" s="12"/>
      <c r="J34" s="33"/>
      <c r="K34" s="12"/>
      <c r="L34" s="12"/>
      <c r="M34" s="28">
        <f t="shared" si="6"/>
        <v>4</v>
      </c>
      <c r="N34" s="28">
        <f t="shared" si="7"/>
        <v>14</v>
      </c>
    </row>
    <row r="35" spans="1:103" ht="12" customHeight="1">
      <c r="A35" s="77">
        <f t="shared" si="5"/>
        <v>9</v>
      </c>
      <c r="B35" s="33" t="s">
        <v>29</v>
      </c>
      <c r="C35" s="51" t="s">
        <v>50</v>
      </c>
      <c r="D35" s="12"/>
      <c r="E35" s="31">
        <v>2006</v>
      </c>
      <c r="F35" s="23" t="s">
        <v>20</v>
      </c>
      <c r="G35" s="53"/>
      <c r="H35" s="52">
        <v>30</v>
      </c>
      <c r="I35" s="12"/>
      <c r="J35" s="33"/>
      <c r="K35" s="12"/>
      <c r="L35" s="12"/>
      <c r="M35" s="28">
        <f t="shared" si="6"/>
        <v>8</v>
      </c>
      <c r="N35" s="28">
        <f>N27+10</f>
        <v>28</v>
      </c>
      <c r="O35" t="s">
        <v>271</v>
      </c>
    </row>
    <row r="36" spans="1:103" ht="12" customHeight="1">
      <c r="A36" s="77">
        <f t="shared" si="5"/>
        <v>10</v>
      </c>
      <c r="B36" s="18" t="s">
        <v>35</v>
      </c>
      <c r="C36" s="51" t="s">
        <v>77</v>
      </c>
      <c r="D36" s="12"/>
      <c r="E36" s="31">
        <v>2001</v>
      </c>
      <c r="F36" s="23" t="s">
        <v>20</v>
      </c>
      <c r="G36" s="53"/>
      <c r="H36" s="52">
        <v>30</v>
      </c>
      <c r="I36" s="12"/>
      <c r="J36" s="33"/>
      <c r="K36" s="12"/>
      <c r="L36" s="12"/>
      <c r="M36" s="28">
        <f t="shared" si="6"/>
        <v>1</v>
      </c>
      <c r="N36" s="28">
        <f t="shared" ref="N36:N42" si="8">N28+10</f>
        <v>21</v>
      </c>
    </row>
    <row r="37" spans="1:103" ht="12" customHeight="1">
      <c r="A37" s="77">
        <f t="shared" si="5"/>
        <v>11</v>
      </c>
      <c r="B37" s="18" t="s">
        <v>11</v>
      </c>
      <c r="C37" s="51" t="s">
        <v>73</v>
      </c>
      <c r="D37" s="12"/>
      <c r="E37" s="31">
        <v>2000</v>
      </c>
      <c r="F37" s="23" t="s">
        <v>20</v>
      </c>
      <c r="G37" s="53"/>
      <c r="H37" s="52">
        <v>29.8</v>
      </c>
      <c r="I37" s="12"/>
      <c r="J37" s="33"/>
      <c r="K37" s="12"/>
      <c r="L37" s="12"/>
      <c r="M37" s="28">
        <f t="shared" si="6"/>
        <v>7</v>
      </c>
      <c r="N37" s="28">
        <f t="shared" si="8"/>
        <v>27</v>
      </c>
    </row>
    <row r="38" spans="1:103" ht="12" customHeight="1">
      <c r="A38" s="77">
        <f t="shared" si="5"/>
        <v>12</v>
      </c>
      <c r="B38" s="33" t="s">
        <v>23</v>
      </c>
      <c r="C38" s="51" t="s">
        <v>44</v>
      </c>
      <c r="D38" s="12"/>
      <c r="E38" s="31">
        <v>1999</v>
      </c>
      <c r="F38" s="23" t="s">
        <v>20</v>
      </c>
      <c r="G38" s="53"/>
      <c r="H38" s="52">
        <v>29.7</v>
      </c>
      <c r="I38" s="12"/>
      <c r="J38" s="33"/>
      <c r="K38" s="12" t="s">
        <v>12</v>
      </c>
      <c r="L38" s="12"/>
      <c r="M38" s="28">
        <f t="shared" si="6"/>
        <v>2</v>
      </c>
      <c r="N38" s="28">
        <f t="shared" si="8"/>
        <v>22</v>
      </c>
    </row>
    <row r="39" spans="1:103" ht="12" customHeight="1">
      <c r="A39" s="77">
        <f t="shared" si="5"/>
        <v>13</v>
      </c>
      <c r="B39" s="18" t="s">
        <v>10</v>
      </c>
      <c r="C39" s="51" t="s">
        <v>75</v>
      </c>
      <c r="D39" s="12"/>
      <c r="E39" s="31">
        <v>1999</v>
      </c>
      <c r="F39" s="23" t="s">
        <v>20</v>
      </c>
      <c r="G39" s="53"/>
      <c r="H39" s="52">
        <v>29.7</v>
      </c>
      <c r="I39" s="12"/>
      <c r="J39" s="33"/>
      <c r="K39" s="12" t="s">
        <v>12</v>
      </c>
      <c r="L39" s="12"/>
      <c r="M39" s="28">
        <f t="shared" si="6"/>
        <v>6</v>
      </c>
      <c r="N39" s="28">
        <f t="shared" si="8"/>
        <v>26</v>
      </c>
    </row>
    <row r="40" spans="1:103" ht="12" customHeight="1">
      <c r="A40" s="77">
        <f t="shared" si="5"/>
        <v>14</v>
      </c>
      <c r="B40" s="33" t="s">
        <v>1</v>
      </c>
      <c r="C40" s="51" t="s">
        <v>21</v>
      </c>
      <c r="D40" s="12"/>
      <c r="E40" s="31">
        <v>1998</v>
      </c>
      <c r="F40" s="23" t="s">
        <v>20</v>
      </c>
      <c r="G40" s="53"/>
      <c r="H40" s="52">
        <v>25.2</v>
      </c>
      <c r="I40" s="12"/>
      <c r="J40" s="33"/>
      <c r="K40" s="79"/>
      <c r="L40" s="12"/>
      <c r="M40" s="28">
        <f t="shared" si="6"/>
        <v>3</v>
      </c>
      <c r="N40" s="28">
        <f t="shared" si="8"/>
        <v>23</v>
      </c>
    </row>
    <row r="41" spans="1:103" ht="12" customHeight="1">
      <c r="A41" s="77">
        <f t="shared" si="5"/>
        <v>15</v>
      </c>
      <c r="B41" s="18" t="s">
        <v>10</v>
      </c>
      <c r="C41" s="51" t="s">
        <v>71</v>
      </c>
      <c r="D41" s="12"/>
      <c r="E41" s="31">
        <v>2006</v>
      </c>
      <c r="F41" s="23" t="s">
        <v>20</v>
      </c>
      <c r="G41" s="53"/>
      <c r="H41" s="52">
        <v>23.2</v>
      </c>
      <c r="I41" s="12"/>
      <c r="J41" s="12"/>
      <c r="K41" s="12"/>
      <c r="L41" s="12"/>
      <c r="M41" s="28">
        <f t="shared" si="6"/>
        <v>5</v>
      </c>
      <c r="N41" s="28">
        <f t="shared" si="8"/>
        <v>25</v>
      </c>
    </row>
    <row r="42" spans="1:103" ht="12" customHeight="1">
      <c r="A42" s="77">
        <f t="shared" si="5"/>
        <v>16</v>
      </c>
      <c r="B42" s="33" t="s">
        <v>1</v>
      </c>
      <c r="C42" s="51" t="s">
        <v>32</v>
      </c>
      <c r="D42" s="12"/>
      <c r="E42" s="31">
        <v>2000</v>
      </c>
      <c r="F42" s="23" t="s">
        <v>20</v>
      </c>
      <c r="G42" s="53"/>
      <c r="H42" s="52">
        <v>18.5</v>
      </c>
      <c r="I42" s="12"/>
      <c r="J42" s="33"/>
      <c r="K42" s="12"/>
      <c r="L42" s="12"/>
      <c r="M42" s="28">
        <f t="shared" si="6"/>
        <v>4</v>
      </c>
      <c r="N42" s="28">
        <f t="shared" si="8"/>
        <v>24</v>
      </c>
    </row>
    <row r="45" spans="1:103">
      <c r="D45" t="s">
        <v>330</v>
      </c>
      <c r="L45" t="s">
        <v>272</v>
      </c>
      <c r="M45" t="s">
        <v>273</v>
      </c>
      <c r="O45" t="s">
        <v>272</v>
      </c>
      <c r="P45" t="s">
        <v>273</v>
      </c>
      <c r="R45" t="s">
        <v>272</v>
      </c>
      <c r="S45" t="s">
        <v>273</v>
      </c>
      <c r="U45" t="s">
        <v>274</v>
      </c>
    </row>
    <row r="46" spans="1:103">
      <c r="L46" s="128" t="s">
        <v>327</v>
      </c>
      <c r="M46" s="383"/>
      <c r="N46" s="383"/>
      <c r="O46" s="128" t="s">
        <v>328</v>
      </c>
      <c r="P46" s="383"/>
      <c r="Q46" s="383"/>
      <c r="R46" s="128" t="s">
        <v>329</v>
      </c>
      <c r="U46" s="193" t="s">
        <v>221</v>
      </c>
    </row>
    <row r="47" spans="1:103" s="520" customFormat="1" ht="15" customHeight="1">
      <c r="A47" s="73"/>
      <c r="C47" s="519"/>
      <c r="D47" s="522" t="s">
        <v>58</v>
      </c>
      <c r="E47" s="523">
        <f>INT(A48/10)</f>
        <v>20</v>
      </c>
      <c r="F47" s="17"/>
      <c r="G47" s="17"/>
      <c r="H47" s="521"/>
      <c r="I47" s="30"/>
      <c r="J47" s="17"/>
      <c r="K47" s="61"/>
      <c r="L47" s="74"/>
      <c r="M47" s="18"/>
      <c r="U47" s="50"/>
    </row>
    <row r="48" spans="1:103" s="383" customFormat="1" ht="14.25">
      <c r="A48" s="403">
        <f>A49</f>
        <v>203</v>
      </c>
      <c r="C48" s="384"/>
      <c r="D48" s="27"/>
      <c r="F48" s="388" t="str">
        <f>F49</f>
        <v>Клуб 12</v>
      </c>
      <c r="H48" s="404">
        <f>H49</f>
        <v>2000</v>
      </c>
      <c r="I48" s="129"/>
      <c r="L48" s="128"/>
      <c r="O48" s="128"/>
      <c r="R48" s="128"/>
      <c r="U48" s="50">
        <f t="shared" ref="U48:U67" si="9">IF(MOD($A48,10)&lt;10,MOD($A48,10),IF($A48/10&gt;8,MOD($A48,80),IF($A48/10&gt;7,MOD($A48,70),IF($A48/10&gt;6,MOD($A48,60),IF($A48/10&gt;5,MOD($A48,50),IF($A48/10&gt;4,MOD($A48,40),IF($A48/10&gt;3,MOD($A48,30),IF($A48/10&gt;2,MOD($A48,20),MOD($A48,100)))))))))</f>
        <v>3</v>
      </c>
      <c r="CI48" s="385"/>
      <c r="CW48" s="386"/>
      <c r="CX48" s="386"/>
      <c r="CY48" s="386"/>
    </row>
    <row r="49" spans="1:523" s="383" customFormat="1" ht="13.5">
      <c r="A49" s="6">
        <v>203</v>
      </c>
      <c r="B49" s="29" t="s">
        <v>13</v>
      </c>
      <c r="C49" s="51" t="s">
        <v>81</v>
      </c>
      <c r="D49" s="12"/>
      <c r="E49" s="387">
        <v>2001</v>
      </c>
      <c r="F49" s="290" t="s">
        <v>334</v>
      </c>
      <c r="G49" s="192"/>
      <c r="H49" s="39">
        <v>2000</v>
      </c>
      <c r="I49" s="182">
        <v>1</v>
      </c>
      <c r="J49" s="12"/>
      <c r="K49" s="12"/>
      <c r="L49" s="18" t="b">
        <f>IF($A49/4&lt;=1,8,IF($A49/4&lt;=2,1,IF($A49/4&lt;=3,7,IF($A49/4&lt;=4,2,IF($A49/4&lt;=5,6,IF($A49/4&lt;=6,3,IF($A49/4&lt;=7,5,IF($A49/4&lt;=8,4,IF($A49/4&lt;=9,8,IF($A49/4&lt;=10,1,IF($A49/4&lt;=11,7,IF($A49/4&lt;=12,2,IF($A49/4&lt;=13,6,IF($A49/4&lt;=14,3,IF($A49/4&lt;=15,5,IF($A49/4&lt;=16,4,IF($A49/4&lt;=17,8,IF($A49/4&lt;=18,1,IF($A49/4&lt;=19,7,IF($A49/4&lt;=20,2,IF($A49/4&lt;=21,6,IF($A49/4&lt;=22,3,IF($A49/4&lt;=23,5,IF($A49/4&lt;=24,4,IF($A49/4&lt;=25,8,IF($A49/4&lt;=26,1,IF($A49/4&lt;=27,7,IF($A49/4&lt;=28,2,IF($A49/4&lt;=29,6,IF($A49/4&lt;=30,3,IF($A49/4&lt;=31,5,IF($A49/4&lt;=32,4,IF($A49/4&lt;=33,8,IF($A49/4&lt;=34,1,IF($A49/4&lt;=35,7,IF($A49/4&lt;=36,2,IF($A49/4&lt;=37,6,IF($A49/4&lt;=38,3,IF($A49/4&lt;=39,5,IF($A49/4&lt;=40,4))))))))))))))))))))))))))))))))))))))))</f>
        <v>0</v>
      </c>
      <c r="M49" s="383">
        <f>L49+200</f>
        <v>200</v>
      </c>
      <c r="N49" s="12"/>
      <c r="O49" s="18" t="b">
        <f>IF($A49/4&lt;=1,4,IF($A49/4&lt;=2,1,IF($A49/4&lt;=3,3,IF($A49/4&lt;=4,2,IF($A49/4&lt;=5,4,IF($A49/4&lt;=6,1,IF($A49/4&lt;=7,3,IF($A49/4&lt;=8,2,IF($A49/4&lt;=9,4,IF($A49/4&lt;=10,1,IF($A49/4&lt;=11,3,IF($A49/4&lt;=12,2,IF($A49/4&lt;=13,4,IF($A49/4&lt;=14,1,IF($A49/4&lt;=15,3,IF($A49/4&lt;=16,2,IF($A49/4&lt;=17,4,IF($A49/4&lt;=18,1,IF($A49/4&lt;=19,3,IF($A49/4&lt;=20,2,IF($A49/4&lt;=21,4,IF($A49/4&lt;=22,1,IF($A49/4&lt;=23,3,IF($A49/4&lt;=24,2,IF($A49/4&lt;=25,4,IF($A49/4&lt;=26,1,IF($A49/4&lt;=27,3,IF($A49/4&lt;=28,2,IF($A49/4&lt;=29,4,IF($A49/4&lt;=30,1,IF($A49/4&lt;=31,3,IF($A49/4&lt;=32,2,IF($A49/4&lt;=33,4,IF($A49/4&lt;=34,1,IF($A49/4&lt;=35,3,IF($A49/4&lt;=36,2))))))))))))))))))))))))))))))))))))</f>
        <v>0</v>
      </c>
      <c r="P49" s="383">
        <f>P41+10</f>
        <v>10</v>
      </c>
      <c r="Q49" s="12"/>
      <c r="R49" s="18" t="b">
        <f>IF($A49/4&lt;=1,6,IF($A49/4&lt;=2,1,IF($A49/4&lt;=3,5,IF($A49/4&lt;=4,2,IF($A49/4&lt;=5,4,IF($A49/4&lt;=6,3,IF($A49/4&lt;=7,6,IF($A49/4&lt;=8,1,IF($A49/4&lt;=9,5,IF($A49/4&lt;=10,2,IF($A49/4&lt;=11,4,IF($A49/4&lt;=12,3,IF($A49/4&lt;=13,6,IF($A49/4&lt;=14,1,IF($A49/4&lt;=15,5,IF($A49/4&lt;=16,2,IF($A49/4&lt;=17,4,IF($A49/4&lt;=18,3,IF($A49/4&lt;=19,6,IF($A49/4&lt;=20,1,IF($A49/4&lt;=21,5,IF($A49/4&lt;=22,2,IF($A49/4&lt;=23,4,IF($A49/4&lt;=24,3,IF($A49/4&lt;=25,6,IF($A49/4&lt;=26,1,IF($A49/4&lt;=27,5,IF($A49/4&lt;=28,2,IF($A49/4&lt;=29,4,IF($A49/4&lt;=30,3,IF($A49/4&lt;=31,6,IF($A49/4&lt;=32,1,IF($A49/4&lt;=33,5,IF($A49/4&lt;=34,2,IF($A49/4&lt;=35,4,IF($A49/4&lt;=36,3))))))))))))))))))))))))))))))))))))</f>
        <v>0</v>
      </c>
      <c r="S49" s="383">
        <f>R49+200</f>
        <v>200</v>
      </c>
      <c r="T49" s="12"/>
      <c r="U49" s="50">
        <f t="shared" si="9"/>
        <v>3</v>
      </c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  <c r="EY49" s="12"/>
      <c r="EZ49" s="12"/>
      <c r="FA49" s="12"/>
      <c r="FB49" s="12"/>
      <c r="FC49" s="12"/>
      <c r="FD49" s="12"/>
      <c r="FE49" s="12"/>
      <c r="FF49" s="12"/>
      <c r="FG49" s="12"/>
      <c r="FH49" s="12"/>
      <c r="FI49" s="12"/>
      <c r="FJ49" s="12"/>
      <c r="FK49" s="12"/>
      <c r="FL49" s="12"/>
      <c r="FM49" s="12"/>
      <c r="FN49" s="12"/>
      <c r="FO49" s="12"/>
      <c r="FP49" s="12"/>
      <c r="FQ49" s="12"/>
      <c r="FR49" s="12"/>
      <c r="FS49" s="12"/>
      <c r="FT49" s="12"/>
      <c r="FU49" s="12"/>
      <c r="FV49" s="12"/>
      <c r="FW49" s="12"/>
      <c r="FX49" s="12"/>
      <c r="FY49" s="12"/>
      <c r="FZ49" s="12"/>
      <c r="GA49" s="12"/>
      <c r="GB49" s="12"/>
      <c r="GC49" s="12"/>
      <c r="GD49" s="12"/>
      <c r="GE49" s="12"/>
      <c r="GF49" s="12"/>
      <c r="GG49" s="12"/>
      <c r="GH49" s="12"/>
      <c r="GI49" s="12"/>
      <c r="GJ49" s="12"/>
      <c r="GK49" s="12"/>
      <c r="GL49" s="12"/>
      <c r="GM49" s="12"/>
      <c r="GN49" s="12"/>
      <c r="GO49" s="12"/>
      <c r="GP49" s="12"/>
      <c r="GQ49" s="12"/>
      <c r="GR49" s="12"/>
      <c r="GS49" s="12"/>
      <c r="GT49" s="12"/>
      <c r="GU49" s="12"/>
      <c r="GV49" s="12"/>
      <c r="GW49" s="12"/>
      <c r="GX49" s="12"/>
      <c r="GY49" s="12"/>
      <c r="GZ49" s="12"/>
      <c r="HA49" s="12"/>
      <c r="HB49" s="12"/>
      <c r="HC49" s="12"/>
      <c r="HD49" s="12"/>
      <c r="HE49" s="12"/>
      <c r="HF49" s="12"/>
      <c r="HG49" s="12"/>
      <c r="HH49" s="12"/>
      <c r="HI49" s="12"/>
      <c r="HJ49" s="12"/>
      <c r="HK49" s="12"/>
      <c r="HL49" s="12"/>
      <c r="HM49" s="12"/>
      <c r="HN49" s="12"/>
      <c r="HO49" s="12"/>
      <c r="HP49" s="12"/>
      <c r="HQ49" s="12"/>
      <c r="HR49" s="12"/>
      <c r="HS49" s="12"/>
      <c r="HT49" s="12"/>
      <c r="HU49" s="12"/>
      <c r="HV49" s="12"/>
      <c r="HW49" s="12"/>
      <c r="HX49" s="12"/>
      <c r="HY49" s="12"/>
      <c r="HZ49" s="12"/>
      <c r="IA49" s="12"/>
      <c r="IB49" s="12"/>
      <c r="IC49" s="12"/>
      <c r="ID49" s="12"/>
      <c r="IE49" s="12"/>
      <c r="IF49" s="12"/>
      <c r="IG49" s="12"/>
      <c r="IH49" s="12"/>
      <c r="II49" s="12"/>
      <c r="IJ49" s="12"/>
      <c r="IK49" s="12"/>
      <c r="IL49" s="12"/>
      <c r="IM49" s="12"/>
      <c r="IN49" s="12"/>
      <c r="IO49" s="12"/>
      <c r="IP49" s="12"/>
      <c r="IQ49" s="12"/>
      <c r="IR49" s="12"/>
      <c r="IS49" s="12"/>
      <c r="IT49" s="12"/>
      <c r="IU49" s="12"/>
      <c r="IV49" s="12"/>
      <c r="IW49" s="12"/>
      <c r="IX49" s="12"/>
      <c r="IY49" s="12"/>
      <c r="IZ49" s="12"/>
      <c r="JA49" s="12"/>
      <c r="JB49" s="12"/>
      <c r="JC49" s="12"/>
      <c r="JD49" s="12"/>
      <c r="JE49" s="12"/>
      <c r="JF49" s="12"/>
      <c r="JG49" s="12"/>
      <c r="JH49" s="12"/>
      <c r="JI49" s="12"/>
      <c r="JJ49" s="12"/>
      <c r="JK49" s="12"/>
      <c r="JL49" s="12"/>
      <c r="JM49" s="12"/>
      <c r="JN49" s="12"/>
      <c r="JO49" s="12"/>
      <c r="JP49" s="12"/>
      <c r="JQ49" s="12"/>
      <c r="JR49" s="12"/>
      <c r="JS49" s="12"/>
      <c r="JT49" s="12"/>
      <c r="JU49" s="12"/>
      <c r="JV49" s="12"/>
      <c r="JW49" s="12"/>
      <c r="JX49" s="12"/>
      <c r="JY49" s="12"/>
      <c r="JZ49" s="12"/>
      <c r="KA49" s="12"/>
      <c r="KB49" s="12"/>
      <c r="KC49" s="12"/>
      <c r="KD49" s="12"/>
      <c r="KE49" s="12"/>
      <c r="KF49" s="12"/>
      <c r="KG49" s="12"/>
      <c r="KH49" s="12"/>
      <c r="KI49" s="12"/>
      <c r="KJ49" s="12"/>
      <c r="KK49" s="12"/>
      <c r="KL49" s="12"/>
      <c r="KM49" s="12"/>
      <c r="KN49" s="12"/>
      <c r="KO49" s="12"/>
      <c r="KP49" s="12"/>
      <c r="KQ49" s="12"/>
      <c r="KR49" s="12"/>
      <c r="KS49" s="12"/>
      <c r="KT49" s="12"/>
      <c r="KU49" s="12"/>
      <c r="KV49" s="12"/>
      <c r="KW49" s="12"/>
      <c r="KX49" s="12"/>
      <c r="KY49" s="12"/>
      <c r="KZ49" s="12"/>
      <c r="LA49" s="12"/>
      <c r="LB49" s="12"/>
      <c r="LC49" s="12"/>
      <c r="LD49" s="12"/>
      <c r="LE49" s="12"/>
      <c r="LF49" s="12"/>
      <c r="LG49" s="12"/>
      <c r="LH49" s="12"/>
      <c r="LI49" s="12"/>
      <c r="LJ49" s="12"/>
      <c r="LK49" s="12"/>
      <c r="LL49" s="12"/>
      <c r="LM49" s="12"/>
      <c r="LN49" s="12"/>
      <c r="LO49" s="12"/>
      <c r="LP49" s="12"/>
      <c r="LQ49" s="12"/>
      <c r="LR49" s="12"/>
      <c r="LS49" s="12"/>
      <c r="LT49" s="12"/>
      <c r="LU49" s="12"/>
      <c r="LV49" s="12"/>
      <c r="LW49" s="12"/>
      <c r="LX49" s="12"/>
      <c r="LY49" s="12"/>
      <c r="LZ49" s="12"/>
      <c r="MA49" s="12"/>
      <c r="MB49" s="12"/>
      <c r="MC49" s="12"/>
      <c r="MD49" s="12"/>
      <c r="ME49" s="12"/>
      <c r="MF49" s="12"/>
      <c r="MG49" s="12"/>
      <c r="MH49" s="12"/>
      <c r="MI49" s="12"/>
      <c r="MJ49" s="12"/>
      <c r="MK49" s="12"/>
      <c r="ML49" s="12"/>
      <c r="MM49" s="12"/>
      <c r="MN49" s="12"/>
      <c r="MO49" s="12"/>
      <c r="MP49" s="12"/>
      <c r="MQ49" s="12"/>
      <c r="MR49" s="12"/>
      <c r="MS49" s="12"/>
      <c r="MT49" s="12"/>
      <c r="MU49" s="12"/>
      <c r="MV49" s="12"/>
      <c r="MW49" s="12"/>
      <c r="MX49" s="12"/>
      <c r="MY49" s="12"/>
      <c r="MZ49" s="12"/>
      <c r="NA49" s="12"/>
      <c r="NB49" s="12"/>
      <c r="NC49" s="12"/>
      <c r="ND49" s="12"/>
      <c r="NE49" s="12"/>
      <c r="NF49" s="12"/>
      <c r="NG49" s="12"/>
      <c r="NH49" s="12"/>
      <c r="NI49" s="12"/>
      <c r="NJ49" s="12"/>
      <c r="NK49" s="12"/>
      <c r="NL49" s="12"/>
      <c r="NM49" s="12"/>
      <c r="NN49" s="12"/>
      <c r="NO49" s="12"/>
      <c r="NP49" s="12"/>
      <c r="NQ49" s="12"/>
      <c r="NR49" s="12"/>
      <c r="NS49" s="12"/>
      <c r="NT49" s="12"/>
      <c r="NU49" s="12"/>
      <c r="NV49" s="12"/>
      <c r="NW49" s="12"/>
      <c r="NX49" s="12"/>
      <c r="NY49" s="12"/>
      <c r="NZ49" s="12"/>
      <c r="OA49" s="12"/>
      <c r="OB49" s="12"/>
      <c r="OC49" s="12"/>
      <c r="OD49" s="12"/>
      <c r="OE49" s="12"/>
      <c r="OF49" s="12"/>
      <c r="OG49" s="12"/>
      <c r="OH49" s="12"/>
      <c r="OI49" s="12"/>
      <c r="OJ49" s="12"/>
      <c r="OK49" s="12"/>
      <c r="OL49" s="12"/>
      <c r="OM49" s="12"/>
      <c r="ON49" s="12"/>
      <c r="OO49" s="12"/>
      <c r="OP49" s="12"/>
      <c r="OQ49" s="12"/>
      <c r="OR49" s="12"/>
      <c r="OS49" s="12"/>
      <c r="OT49" s="12"/>
      <c r="OU49" s="12"/>
      <c r="OV49" s="12"/>
      <c r="OW49" s="12"/>
      <c r="OX49" s="12"/>
      <c r="OY49" s="12"/>
      <c r="OZ49" s="12"/>
      <c r="PA49" s="12"/>
      <c r="PB49" s="12"/>
      <c r="PC49" s="12"/>
      <c r="PD49" s="12"/>
      <c r="PE49" s="12"/>
      <c r="PF49" s="12"/>
      <c r="PG49" s="12"/>
      <c r="PH49" s="12"/>
      <c r="PI49" s="12"/>
      <c r="PJ49" s="12"/>
      <c r="PK49" s="12"/>
      <c r="PL49" s="12"/>
      <c r="PM49" s="12"/>
      <c r="PN49" s="12"/>
      <c r="PO49" s="12"/>
      <c r="PP49" s="12"/>
      <c r="PQ49" s="12"/>
      <c r="PR49" s="12"/>
      <c r="PS49" s="12"/>
      <c r="PT49" s="12"/>
      <c r="PU49" s="12"/>
      <c r="PV49" s="12"/>
      <c r="PW49" s="12"/>
      <c r="PX49" s="12"/>
      <c r="PY49" s="12"/>
      <c r="PZ49" s="12"/>
      <c r="QA49" s="12"/>
      <c r="QB49" s="12"/>
      <c r="QC49" s="12"/>
      <c r="QD49" s="12"/>
      <c r="QE49" s="12"/>
      <c r="QF49" s="12"/>
      <c r="QG49" s="12"/>
      <c r="QH49" s="12"/>
      <c r="QI49" s="12"/>
      <c r="QJ49" s="12"/>
      <c r="QK49" s="12"/>
      <c r="QL49" s="12"/>
      <c r="QM49" s="12"/>
      <c r="QN49" s="12"/>
      <c r="QO49" s="12"/>
      <c r="QP49" s="12"/>
      <c r="QQ49" s="12"/>
      <c r="QR49" s="12"/>
      <c r="QS49" s="12"/>
      <c r="QT49" s="12"/>
      <c r="QU49" s="12"/>
      <c r="QV49" s="12"/>
      <c r="QW49" s="12"/>
      <c r="QX49" s="12"/>
      <c r="QY49" s="12"/>
      <c r="QZ49" s="12"/>
      <c r="RA49" s="12"/>
      <c r="RB49" s="12"/>
      <c r="RC49" s="12"/>
      <c r="RD49" s="12"/>
      <c r="RE49" s="12"/>
      <c r="RF49" s="12"/>
      <c r="RG49" s="12"/>
      <c r="RH49" s="12"/>
      <c r="RI49" s="12"/>
      <c r="RJ49" s="12"/>
      <c r="RK49" s="12"/>
      <c r="RL49" s="12"/>
      <c r="RM49" s="12"/>
      <c r="RN49" s="12"/>
      <c r="RO49" s="12"/>
      <c r="RP49" s="12"/>
      <c r="RQ49" s="12"/>
      <c r="RR49" s="12"/>
      <c r="RS49" s="12"/>
      <c r="RT49" s="12"/>
      <c r="RU49" s="12"/>
      <c r="RV49" s="12"/>
      <c r="RW49" s="12"/>
      <c r="RX49" s="12"/>
      <c r="RY49" s="12"/>
      <c r="RZ49" s="12"/>
      <c r="SA49" s="12"/>
      <c r="SB49" s="12"/>
      <c r="SC49" s="12"/>
      <c r="SD49" s="12"/>
      <c r="SE49" s="12"/>
      <c r="SF49" s="12"/>
      <c r="SG49" s="12"/>
      <c r="SH49" s="12"/>
      <c r="SI49" s="12"/>
      <c r="SJ49" s="12"/>
      <c r="SK49" s="12"/>
      <c r="SL49" s="12"/>
      <c r="SM49" s="12"/>
      <c r="SN49" s="12"/>
      <c r="SO49" s="12"/>
      <c r="SP49" s="12"/>
      <c r="SQ49" s="12"/>
      <c r="SR49" s="12"/>
      <c r="SS49" s="12"/>
      <c r="ST49" s="12"/>
      <c r="SU49" s="12"/>
      <c r="SV49" s="12"/>
      <c r="SW49" s="12"/>
      <c r="SX49" s="12"/>
      <c r="SY49" s="12"/>
      <c r="SZ49" s="12"/>
      <c r="TA49" s="12"/>
      <c r="TB49" s="12"/>
      <c r="TC49" s="12"/>
    </row>
    <row r="50" spans="1:523" s="383" customFormat="1" ht="13.5">
      <c r="A50" s="6">
        <v>203</v>
      </c>
      <c r="B50" s="29" t="s">
        <v>14</v>
      </c>
      <c r="C50" s="51" t="s">
        <v>63</v>
      </c>
      <c r="D50" s="12"/>
      <c r="E50" s="387">
        <v>2001</v>
      </c>
      <c r="F50" s="290" t="s">
        <v>334</v>
      </c>
      <c r="G50" s="192"/>
      <c r="H50" s="39">
        <v>2000</v>
      </c>
      <c r="I50" s="182">
        <v>2</v>
      </c>
      <c r="J50" s="12"/>
      <c r="K50" s="12"/>
      <c r="L50" s="18" t="b">
        <f>IF($A50/4&lt;=1,8,IF($A50/4&lt;=2,1,IF($A50/4&lt;=3,7,IF($A50/4&lt;=4,2,IF($A50/4&lt;=5,6,IF($A50/4&lt;=6,3,IF($A50/4&lt;=7,5,IF($A50/4&lt;=8,4,IF($A50/4&lt;=9,8,IF($A50/4&lt;=10,1,IF($A50/4&lt;=11,7,IF($A50/4&lt;=12,2,IF($A50/4&lt;=13,6,IF($A50/4&lt;=14,3,IF($A50/4&lt;=15,5,IF($A50/4&lt;=16,4,IF($A50/4&lt;=17,8,IF($A50/4&lt;=18,1,IF($A50/4&lt;=19,7,IF($A50/4&lt;=20,2,IF($A50/4&lt;=21,6,IF($A50/4&lt;=22,3,IF($A50/4&lt;=23,5,IF($A50/4&lt;=24,4,IF($A50/4&lt;=25,8,IF($A50/4&lt;=26,1,IF($A50/4&lt;=27,7,IF($A50/4&lt;=28,2,IF($A50/4&lt;=29,6,IF($A50/4&lt;=30,3,IF($A50/4&lt;=31,5,IF($A50/4&lt;=32,4,IF($A50/4&lt;=33,8,IF($A50/4&lt;=34,1,IF($A50/4&lt;=35,7,IF($A50/4&lt;=36,2,IF($A50/4&lt;=37,6,IF($A50/4&lt;=38,3,IF($A50/4&lt;=39,5,IF($A50/4&lt;=40,4))))))))))))))))))))))))))))))))))))))))</f>
        <v>0</v>
      </c>
      <c r="M50" s="383">
        <f>L50+200</f>
        <v>200</v>
      </c>
      <c r="N50" s="12"/>
      <c r="O50" s="18" t="b">
        <f>IF($A50/4&lt;=1,4,IF($A50/4&lt;=2,1,IF($A50/4&lt;=3,3,IF($A50/4&lt;=4,2,IF($A50/4&lt;=5,4,IF($A50/4&lt;=6,1,IF($A50/4&lt;=7,3,IF($A50/4&lt;=8,2,IF($A50/4&lt;=9,4,IF($A50/4&lt;=10,1,IF($A50/4&lt;=11,3,IF($A50/4&lt;=12,2,IF($A50/4&lt;=13,4,IF($A50/4&lt;=14,1,IF($A50/4&lt;=15,3,IF($A50/4&lt;=16,2,IF($A50/4&lt;=17,4,IF($A50/4&lt;=18,1,IF($A50/4&lt;=19,3,IF($A50/4&lt;=20,2,IF($A50/4&lt;=21,4,IF($A50/4&lt;=22,1,IF($A50/4&lt;=23,3,IF($A50/4&lt;=24,2,IF($A50/4&lt;=25,4,IF($A50/4&lt;=26,1,IF($A50/4&lt;=27,3,IF($A50/4&lt;=28,2,IF($A50/4&lt;=29,4,IF($A50/4&lt;=30,1,IF($A50/4&lt;=31,3,IF($A50/4&lt;=32,2,IF($A50/4&lt;=33,4,IF($A50/4&lt;=34,1,IF($A50/4&lt;=35,3,IF($A50/4&lt;=36,2))))))))))))))))))))))))))))))))))))</f>
        <v>0</v>
      </c>
      <c r="P50" s="383">
        <f>P42+10</f>
        <v>10</v>
      </c>
      <c r="Q50" s="12"/>
      <c r="R50" s="18" t="b">
        <f>IF($A50/4&lt;=1,6,IF($A50/4&lt;=2,1,IF($A50/4&lt;=3,5,IF($A50/4&lt;=4,2,IF($A50/4&lt;=5,4,IF($A50/4&lt;=6,3,IF($A50/4&lt;=7,6,IF($A50/4&lt;=8,1,IF($A50/4&lt;=9,5,IF($A50/4&lt;=10,2,IF($A50/4&lt;=11,4,IF($A50/4&lt;=12,3,IF($A50/4&lt;=13,6,IF($A50/4&lt;=14,1,IF($A50/4&lt;=15,5,IF($A50/4&lt;=16,2,IF($A50/4&lt;=17,4,IF($A50/4&lt;=18,3,IF($A50/4&lt;=19,6,IF($A50/4&lt;=20,1,IF($A50/4&lt;=21,5,IF($A50/4&lt;=22,2,IF($A50/4&lt;=23,4,IF($A50/4&lt;=24,3,IF($A50/4&lt;=25,6,IF($A50/4&lt;=26,1,IF($A50/4&lt;=27,5,IF($A50/4&lt;=28,2,IF($A50/4&lt;=29,4,IF($A50/4&lt;=30,3,IF($A50/4&lt;=31,6,IF($A50/4&lt;=32,1,IF($A50/4&lt;=33,5,IF($A50/4&lt;=34,2,IF($A50/4&lt;=35,4,IF($A50/4&lt;=36,3))))))))))))))))))))))))))))))))))))</f>
        <v>0</v>
      </c>
      <c r="S50" s="383">
        <f>R50+200</f>
        <v>200</v>
      </c>
      <c r="T50" s="12"/>
      <c r="U50" s="50">
        <f t="shared" si="9"/>
        <v>3</v>
      </c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  <c r="EN50" s="12"/>
      <c r="EO50" s="12"/>
      <c r="EP50" s="12"/>
      <c r="EQ50" s="12"/>
      <c r="ER50" s="12"/>
      <c r="ES50" s="12"/>
      <c r="ET50" s="12"/>
      <c r="EU50" s="12"/>
      <c r="EV50" s="12"/>
      <c r="EW50" s="12"/>
      <c r="EX50" s="12"/>
      <c r="EY50" s="12"/>
      <c r="EZ50" s="12"/>
      <c r="FA50" s="12"/>
      <c r="FB50" s="12"/>
      <c r="FC50" s="12"/>
      <c r="FD50" s="12"/>
      <c r="FE50" s="12"/>
      <c r="FF50" s="12"/>
      <c r="FG50" s="12"/>
      <c r="FH50" s="12"/>
      <c r="FI50" s="12"/>
      <c r="FJ50" s="12"/>
      <c r="FK50" s="12"/>
      <c r="FL50" s="12"/>
      <c r="FM50" s="12"/>
      <c r="FN50" s="12"/>
      <c r="FO50" s="12"/>
      <c r="FP50" s="12"/>
      <c r="FQ50" s="12"/>
      <c r="FR50" s="12"/>
      <c r="FS50" s="12"/>
      <c r="FT50" s="12"/>
      <c r="FU50" s="12"/>
      <c r="FV50" s="12"/>
      <c r="FW50" s="12"/>
      <c r="FX50" s="12"/>
      <c r="FY50" s="12"/>
      <c r="FZ50" s="12"/>
      <c r="GA50" s="12"/>
      <c r="GB50" s="12"/>
      <c r="GC50" s="12"/>
      <c r="GD50" s="12"/>
      <c r="GE50" s="12"/>
      <c r="GF50" s="12"/>
      <c r="GG50" s="12"/>
      <c r="GH50" s="12"/>
      <c r="GI50" s="12"/>
      <c r="GJ50" s="12"/>
      <c r="GK50" s="12"/>
      <c r="GL50" s="12"/>
      <c r="GM50" s="12"/>
      <c r="GN50" s="12"/>
      <c r="GO50" s="12"/>
      <c r="GP50" s="12"/>
      <c r="GQ50" s="12"/>
      <c r="GR50" s="12"/>
      <c r="GS50" s="12"/>
      <c r="GT50" s="12"/>
      <c r="GU50" s="12"/>
      <c r="GV50" s="12"/>
      <c r="GW50" s="12"/>
      <c r="GX50" s="12"/>
      <c r="GY50" s="12"/>
      <c r="GZ50" s="12"/>
      <c r="HA50" s="12"/>
      <c r="HB50" s="12"/>
      <c r="HC50" s="12"/>
      <c r="HD50" s="12"/>
      <c r="HE50" s="12"/>
      <c r="HF50" s="12"/>
      <c r="HG50" s="12"/>
      <c r="HH50" s="12"/>
      <c r="HI50" s="12"/>
      <c r="HJ50" s="12"/>
      <c r="HK50" s="12"/>
      <c r="HL50" s="12"/>
      <c r="HM50" s="12"/>
      <c r="HN50" s="12"/>
      <c r="HO50" s="12"/>
      <c r="HP50" s="12"/>
      <c r="HQ50" s="12"/>
      <c r="HR50" s="12"/>
      <c r="HS50" s="12"/>
      <c r="HT50" s="12"/>
      <c r="HU50" s="12"/>
      <c r="HV50" s="12"/>
      <c r="HW50" s="12"/>
      <c r="HX50" s="12"/>
      <c r="HY50" s="12"/>
      <c r="HZ50" s="12"/>
      <c r="IA50" s="12"/>
      <c r="IB50" s="12"/>
      <c r="IC50" s="12"/>
      <c r="ID50" s="12"/>
      <c r="IE50" s="12"/>
      <c r="IF50" s="12"/>
      <c r="IG50" s="12"/>
      <c r="IH50" s="12"/>
      <c r="II50" s="12"/>
      <c r="IJ50" s="12"/>
      <c r="IK50" s="12"/>
      <c r="IL50" s="12"/>
      <c r="IM50" s="12"/>
      <c r="IN50" s="12"/>
      <c r="IO50" s="12"/>
      <c r="IP50" s="12"/>
      <c r="IQ50" s="12"/>
      <c r="IR50" s="12"/>
      <c r="IS50" s="12"/>
      <c r="IT50" s="12"/>
      <c r="IU50" s="12"/>
      <c r="IV50" s="12"/>
      <c r="IW50" s="12"/>
      <c r="IX50" s="12"/>
      <c r="IY50" s="12"/>
      <c r="IZ50" s="12"/>
      <c r="JA50" s="12"/>
      <c r="JB50" s="12"/>
      <c r="JC50" s="12"/>
      <c r="JD50" s="12"/>
      <c r="JE50" s="12"/>
      <c r="JF50" s="12"/>
      <c r="JG50" s="12"/>
      <c r="JH50" s="12"/>
      <c r="JI50" s="12"/>
      <c r="JJ50" s="12"/>
      <c r="JK50" s="12"/>
      <c r="JL50" s="12"/>
      <c r="JM50" s="12"/>
      <c r="JN50" s="12"/>
      <c r="JO50" s="12"/>
      <c r="JP50" s="12"/>
      <c r="JQ50" s="12"/>
      <c r="JR50" s="12"/>
      <c r="JS50" s="12"/>
      <c r="JT50" s="12"/>
      <c r="JU50" s="12"/>
      <c r="JV50" s="12"/>
      <c r="JW50" s="12"/>
      <c r="JX50" s="12"/>
      <c r="JY50" s="12"/>
      <c r="JZ50" s="12"/>
      <c r="KA50" s="12"/>
      <c r="KB50" s="12"/>
      <c r="KC50" s="12"/>
      <c r="KD50" s="12"/>
      <c r="KE50" s="12"/>
      <c r="KF50" s="12"/>
      <c r="KG50" s="12"/>
      <c r="KH50" s="12"/>
      <c r="KI50" s="12"/>
      <c r="KJ50" s="12"/>
      <c r="KK50" s="12"/>
      <c r="KL50" s="12"/>
      <c r="KM50" s="12"/>
      <c r="KN50" s="12"/>
      <c r="KO50" s="12"/>
      <c r="KP50" s="12"/>
      <c r="KQ50" s="12"/>
      <c r="KR50" s="12"/>
      <c r="KS50" s="12"/>
      <c r="KT50" s="12"/>
      <c r="KU50" s="12"/>
      <c r="KV50" s="12"/>
      <c r="KW50" s="12"/>
      <c r="KX50" s="12"/>
      <c r="KY50" s="12"/>
      <c r="KZ50" s="12"/>
      <c r="LA50" s="12"/>
      <c r="LB50" s="12"/>
      <c r="LC50" s="12"/>
      <c r="LD50" s="12"/>
      <c r="LE50" s="12"/>
      <c r="LF50" s="12"/>
      <c r="LG50" s="12"/>
      <c r="LH50" s="12"/>
      <c r="LI50" s="12"/>
      <c r="LJ50" s="12"/>
      <c r="LK50" s="12"/>
      <c r="LL50" s="12"/>
      <c r="LM50" s="12"/>
      <c r="LN50" s="12"/>
      <c r="LO50" s="12"/>
      <c r="LP50" s="12"/>
      <c r="LQ50" s="12"/>
      <c r="LR50" s="12"/>
      <c r="LS50" s="12"/>
      <c r="LT50" s="12"/>
      <c r="LU50" s="12"/>
      <c r="LV50" s="12"/>
      <c r="LW50" s="12"/>
      <c r="LX50" s="12"/>
      <c r="LY50" s="12"/>
      <c r="LZ50" s="12"/>
      <c r="MA50" s="12"/>
      <c r="MB50" s="12"/>
      <c r="MC50" s="12"/>
      <c r="MD50" s="12"/>
      <c r="ME50" s="12"/>
      <c r="MF50" s="12"/>
      <c r="MG50" s="12"/>
      <c r="MH50" s="12"/>
      <c r="MI50" s="12"/>
      <c r="MJ50" s="12"/>
      <c r="MK50" s="12"/>
      <c r="ML50" s="12"/>
      <c r="MM50" s="12"/>
      <c r="MN50" s="12"/>
      <c r="MO50" s="12"/>
      <c r="MP50" s="12"/>
      <c r="MQ50" s="12"/>
      <c r="MR50" s="12"/>
      <c r="MS50" s="12"/>
      <c r="MT50" s="12"/>
      <c r="MU50" s="12"/>
      <c r="MV50" s="12"/>
      <c r="MW50" s="12"/>
      <c r="MX50" s="12"/>
      <c r="MY50" s="12"/>
      <c r="MZ50" s="12"/>
      <c r="NA50" s="12"/>
      <c r="NB50" s="12"/>
      <c r="NC50" s="12"/>
      <c r="ND50" s="12"/>
      <c r="NE50" s="12"/>
      <c r="NF50" s="12"/>
      <c r="NG50" s="12"/>
      <c r="NH50" s="12"/>
      <c r="NI50" s="12"/>
      <c r="NJ50" s="12"/>
      <c r="NK50" s="12"/>
      <c r="NL50" s="12"/>
      <c r="NM50" s="12"/>
      <c r="NN50" s="12"/>
      <c r="NO50" s="12"/>
      <c r="NP50" s="12"/>
      <c r="NQ50" s="12"/>
      <c r="NR50" s="12"/>
      <c r="NS50" s="12"/>
      <c r="NT50" s="12"/>
      <c r="NU50" s="12"/>
      <c r="NV50" s="12"/>
      <c r="NW50" s="12"/>
      <c r="NX50" s="12"/>
      <c r="NY50" s="12"/>
      <c r="NZ50" s="12"/>
      <c r="OA50" s="12"/>
      <c r="OB50" s="12"/>
      <c r="OC50" s="12"/>
      <c r="OD50" s="12"/>
      <c r="OE50" s="12"/>
      <c r="OF50" s="12"/>
      <c r="OG50" s="12"/>
      <c r="OH50" s="12"/>
      <c r="OI50" s="12"/>
      <c r="OJ50" s="12"/>
      <c r="OK50" s="12"/>
      <c r="OL50" s="12"/>
      <c r="OM50" s="12"/>
      <c r="ON50" s="12"/>
      <c r="OO50" s="12"/>
      <c r="OP50" s="12"/>
      <c r="OQ50" s="12"/>
      <c r="OR50" s="12"/>
      <c r="OS50" s="12"/>
      <c r="OT50" s="12"/>
      <c r="OU50" s="12"/>
      <c r="OV50" s="12"/>
      <c r="OW50" s="12"/>
      <c r="OX50" s="12"/>
      <c r="OY50" s="12"/>
      <c r="OZ50" s="12"/>
      <c r="PA50" s="12"/>
      <c r="PB50" s="12"/>
      <c r="PC50" s="12"/>
      <c r="PD50" s="12"/>
      <c r="PE50" s="12"/>
      <c r="PF50" s="12"/>
      <c r="PG50" s="12"/>
      <c r="PH50" s="12"/>
      <c r="PI50" s="12"/>
      <c r="PJ50" s="12"/>
      <c r="PK50" s="12"/>
      <c r="PL50" s="12"/>
      <c r="PM50" s="12"/>
      <c r="PN50" s="12"/>
      <c r="PO50" s="12"/>
      <c r="PP50" s="12"/>
      <c r="PQ50" s="12"/>
      <c r="PR50" s="12"/>
      <c r="PS50" s="12"/>
      <c r="PT50" s="12"/>
      <c r="PU50" s="12"/>
      <c r="PV50" s="12"/>
      <c r="PW50" s="12"/>
      <c r="PX50" s="12"/>
      <c r="PY50" s="12"/>
      <c r="PZ50" s="12"/>
      <c r="QA50" s="12"/>
      <c r="QB50" s="12"/>
      <c r="QC50" s="12"/>
      <c r="QD50" s="12"/>
      <c r="QE50" s="12"/>
      <c r="QF50" s="12"/>
      <c r="QG50" s="12"/>
      <c r="QH50" s="12"/>
      <c r="QI50" s="12"/>
      <c r="QJ50" s="12"/>
      <c r="QK50" s="12"/>
      <c r="QL50" s="12"/>
      <c r="QM50" s="12"/>
      <c r="QN50" s="12"/>
      <c r="QO50" s="12"/>
      <c r="QP50" s="12"/>
      <c r="QQ50" s="12"/>
      <c r="QR50" s="12"/>
      <c r="QS50" s="12"/>
      <c r="QT50" s="12"/>
      <c r="QU50" s="12"/>
      <c r="QV50" s="12"/>
      <c r="QW50" s="12"/>
      <c r="QX50" s="12"/>
      <c r="QY50" s="12"/>
      <c r="QZ50" s="12"/>
      <c r="RA50" s="12"/>
      <c r="RB50" s="12"/>
      <c r="RC50" s="12"/>
      <c r="RD50" s="12"/>
      <c r="RE50" s="12"/>
      <c r="RF50" s="12"/>
      <c r="RG50" s="12"/>
      <c r="RH50" s="12"/>
      <c r="RI50" s="12"/>
      <c r="RJ50" s="12"/>
      <c r="RK50" s="12"/>
      <c r="RL50" s="12"/>
      <c r="RM50" s="12"/>
      <c r="RN50" s="12"/>
      <c r="RO50" s="12"/>
      <c r="RP50" s="12"/>
      <c r="RQ50" s="12"/>
      <c r="RR50" s="12"/>
      <c r="RS50" s="12"/>
      <c r="RT50" s="12"/>
      <c r="RU50" s="12"/>
      <c r="RV50" s="12"/>
      <c r="RW50" s="12"/>
      <c r="RX50" s="12"/>
      <c r="RY50" s="12"/>
      <c r="RZ50" s="12"/>
      <c r="SA50" s="12"/>
      <c r="SB50" s="12"/>
      <c r="SC50" s="12"/>
      <c r="SD50" s="12"/>
      <c r="SE50" s="12"/>
      <c r="SF50" s="12"/>
      <c r="SG50" s="12"/>
      <c r="SH50" s="12"/>
      <c r="SI50" s="12"/>
      <c r="SJ50" s="12"/>
      <c r="SK50" s="12"/>
      <c r="SL50" s="12"/>
      <c r="SM50" s="12"/>
      <c r="SN50" s="12"/>
      <c r="SO50" s="12"/>
      <c r="SP50" s="12"/>
      <c r="SQ50" s="12"/>
      <c r="SR50" s="12"/>
      <c r="SS50" s="12"/>
      <c r="ST50" s="12"/>
      <c r="SU50" s="12"/>
      <c r="SV50" s="12"/>
      <c r="SW50" s="12"/>
      <c r="SX50" s="12"/>
      <c r="SY50" s="12"/>
      <c r="SZ50" s="12"/>
      <c r="TA50" s="12"/>
      <c r="TB50" s="12"/>
      <c r="TC50" s="12"/>
    </row>
    <row r="51" spans="1:523" s="383" customFormat="1" ht="13.5">
      <c r="A51" s="6">
        <v>203</v>
      </c>
      <c r="B51" s="29" t="s">
        <v>35</v>
      </c>
      <c r="C51" s="51" t="s">
        <v>68</v>
      </c>
      <c r="D51" s="17"/>
      <c r="E51" s="387">
        <v>2003</v>
      </c>
      <c r="F51" s="290" t="s">
        <v>334</v>
      </c>
      <c r="G51" s="192"/>
      <c r="H51" s="39">
        <v>2000</v>
      </c>
      <c r="I51" s="182">
        <v>3</v>
      </c>
      <c r="J51" s="12"/>
      <c r="K51" s="12"/>
      <c r="L51" s="18" t="b">
        <f>IF($A51/4&lt;=1,8,IF($A51/4&lt;=2,1,IF($A51/4&lt;=3,7,IF($A51/4&lt;=4,2,IF($A51/4&lt;=5,6,IF($A51/4&lt;=6,3,IF($A51/4&lt;=7,5,IF($A51/4&lt;=8,4,IF($A51/4&lt;=9,8,IF($A51/4&lt;=10,1,IF($A51/4&lt;=11,7,IF($A51/4&lt;=12,2,IF($A51/4&lt;=13,6,IF($A51/4&lt;=14,3,IF($A51/4&lt;=15,5,IF($A51/4&lt;=16,4,IF($A51/4&lt;=17,8,IF($A51/4&lt;=18,1,IF($A51/4&lt;=19,7,IF($A51/4&lt;=20,2,IF($A51/4&lt;=21,6,IF($A51/4&lt;=22,3,IF($A51/4&lt;=23,5,IF($A51/4&lt;=24,4,IF($A51/4&lt;=25,8,IF($A51/4&lt;=26,1,IF($A51/4&lt;=27,7,IF($A51/4&lt;=28,2,IF($A51/4&lt;=29,6,IF($A51/4&lt;=30,3,IF($A51/4&lt;=31,5,IF($A51/4&lt;=32,4,IF($A51/4&lt;=33,8,IF($A51/4&lt;=34,1,IF($A51/4&lt;=35,7,IF($A51/4&lt;=36,2,IF($A51/4&lt;=37,6,IF($A51/4&lt;=38,3,IF($A51/4&lt;=39,5,IF($A51/4&lt;=40,4))))))))))))))))))))))))))))))))))))))))</f>
        <v>0</v>
      </c>
      <c r="M51" s="383">
        <f>L51+200</f>
        <v>200</v>
      </c>
      <c r="N51" s="12"/>
      <c r="O51" s="18" t="b">
        <f>IF($A51/4&lt;=1,4,IF($A51/4&lt;=2,1,IF($A51/4&lt;=3,3,IF($A51/4&lt;=4,2,IF($A51/4&lt;=5,4,IF($A51/4&lt;=6,1,IF($A51/4&lt;=7,3,IF($A51/4&lt;=8,2,IF($A51/4&lt;=9,4,IF($A51/4&lt;=10,1,IF($A51/4&lt;=11,3,IF($A51/4&lt;=12,2,IF($A51/4&lt;=13,4,IF($A51/4&lt;=14,1,IF($A51/4&lt;=15,3,IF($A51/4&lt;=16,2,IF($A51/4&lt;=17,4,IF($A51/4&lt;=18,1,IF($A51/4&lt;=19,3,IF($A51/4&lt;=20,2,IF($A51/4&lt;=21,4,IF($A51/4&lt;=22,1,IF($A51/4&lt;=23,3,IF($A51/4&lt;=24,2,IF($A51/4&lt;=25,4,IF($A51/4&lt;=26,1,IF($A51/4&lt;=27,3,IF($A51/4&lt;=28,2,IF($A51/4&lt;=29,4,IF($A51/4&lt;=30,1,IF($A51/4&lt;=31,3,IF($A51/4&lt;=32,2,IF($A51/4&lt;=33,4,IF($A51/4&lt;=34,1,IF($A51/4&lt;=35,3,IF($A51/4&lt;=36,2))))))))))))))))))))))))))))))))))))</f>
        <v>0</v>
      </c>
      <c r="P51" s="383">
        <f>P43+10</f>
        <v>10</v>
      </c>
      <c r="Q51" s="12"/>
      <c r="R51" s="18" t="b">
        <f>IF($A51/4&lt;=1,6,IF($A51/4&lt;=2,1,IF($A51/4&lt;=3,5,IF($A51/4&lt;=4,2,IF($A51/4&lt;=5,4,IF($A51/4&lt;=6,3,IF($A51/4&lt;=7,6,IF($A51/4&lt;=8,1,IF($A51/4&lt;=9,5,IF($A51/4&lt;=10,2,IF($A51/4&lt;=11,4,IF($A51/4&lt;=12,3,IF($A51/4&lt;=13,6,IF($A51/4&lt;=14,1,IF($A51/4&lt;=15,5,IF($A51/4&lt;=16,2,IF($A51/4&lt;=17,4,IF($A51/4&lt;=18,3,IF($A51/4&lt;=19,6,IF($A51/4&lt;=20,1,IF($A51/4&lt;=21,5,IF($A51/4&lt;=22,2,IF($A51/4&lt;=23,4,IF($A51/4&lt;=24,3,IF($A51/4&lt;=25,6,IF($A51/4&lt;=26,1,IF($A51/4&lt;=27,5,IF($A51/4&lt;=28,2,IF($A51/4&lt;=29,4,IF($A51/4&lt;=30,3,IF($A51/4&lt;=31,6,IF($A51/4&lt;=32,1,IF($A51/4&lt;=33,5,IF($A51/4&lt;=34,2,IF($A51/4&lt;=35,4,IF($A51/4&lt;=36,3))))))))))))))))))))))))))))))))))))</f>
        <v>0</v>
      </c>
      <c r="S51" s="383">
        <f>R51+200</f>
        <v>200</v>
      </c>
      <c r="T51" s="12"/>
      <c r="U51" s="50">
        <f t="shared" si="9"/>
        <v>3</v>
      </c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  <c r="EQ51" s="12"/>
      <c r="ER51" s="12"/>
      <c r="ES51" s="12"/>
      <c r="ET51" s="12"/>
      <c r="EU51" s="12"/>
      <c r="EV51" s="12"/>
      <c r="EW51" s="12"/>
      <c r="EX51" s="12"/>
      <c r="EY51" s="12"/>
      <c r="EZ51" s="12"/>
      <c r="FA51" s="12"/>
      <c r="FB51" s="12"/>
      <c r="FC51" s="12"/>
      <c r="FD51" s="12"/>
      <c r="FE51" s="12"/>
      <c r="FF51" s="12"/>
      <c r="FG51" s="12"/>
      <c r="FH51" s="12"/>
      <c r="FI51" s="12"/>
      <c r="FJ51" s="12"/>
      <c r="FK51" s="12"/>
      <c r="FL51" s="12"/>
      <c r="FM51" s="12"/>
      <c r="FN51" s="12"/>
      <c r="FO51" s="12"/>
      <c r="FP51" s="12"/>
      <c r="FQ51" s="12"/>
      <c r="FR51" s="12"/>
      <c r="FS51" s="12"/>
      <c r="FT51" s="12"/>
      <c r="FU51" s="12"/>
      <c r="FV51" s="12"/>
      <c r="FW51" s="12"/>
      <c r="FX51" s="12"/>
      <c r="FY51" s="12"/>
      <c r="FZ51" s="12"/>
      <c r="GA51" s="12"/>
      <c r="GB51" s="12"/>
      <c r="GC51" s="12"/>
      <c r="GD51" s="12"/>
      <c r="GE51" s="12"/>
      <c r="GF51" s="12"/>
      <c r="GG51" s="12"/>
      <c r="GH51" s="12"/>
      <c r="GI51" s="12"/>
      <c r="GJ51" s="12"/>
      <c r="GK51" s="12"/>
      <c r="GL51" s="12"/>
      <c r="GM51" s="12"/>
      <c r="GN51" s="12"/>
      <c r="GO51" s="12"/>
      <c r="GP51" s="12"/>
      <c r="GQ51" s="12"/>
      <c r="GR51" s="12"/>
      <c r="GS51" s="12"/>
      <c r="GT51" s="12"/>
      <c r="GU51" s="12"/>
      <c r="GV51" s="12"/>
      <c r="GW51" s="12"/>
      <c r="GX51" s="12"/>
      <c r="GY51" s="12"/>
      <c r="GZ51" s="12"/>
      <c r="HA51" s="12"/>
      <c r="HB51" s="12"/>
      <c r="HC51" s="12"/>
      <c r="HD51" s="12"/>
      <c r="HE51" s="12"/>
      <c r="HF51" s="12"/>
      <c r="HG51" s="12"/>
      <c r="HH51" s="12"/>
      <c r="HI51" s="12"/>
      <c r="HJ51" s="12"/>
      <c r="HK51" s="12"/>
      <c r="HL51" s="12"/>
      <c r="HM51" s="12"/>
      <c r="HN51" s="12"/>
      <c r="HO51" s="12"/>
      <c r="HP51" s="12"/>
      <c r="HQ51" s="12"/>
      <c r="HR51" s="12"/>
      <c r="HS51" s="12"/>
      <c r="HT51" s="12"/>
      <c r="HU51" s="12"/>
      <c r="HV51" s="12"/>
      <c r="HW51" s="12"/>
      <c r="HX51" s="12"/>
      <c r="HY51" s="12"/>
      <c r="HZ51" s="12"/>
      <c r="IA51" s="12"/>
      <c r="IB51" s="12"/>
      <c r="IC51" s="12"/>
      <c r="ID51" s="12"/>
      <c r="IE51" s="12"/>
      <c r="IF51" s="12"/>
      <c r="IG51" s="12"/>
      <c r="IH51" s="12"/>
      <c r="II51" s="12"/>
      <c r="IJ51" s="12"/>
      <c r="IK51" s="12"/>
      <c r="IL51" s="12"/>
      <c r="IM51" s="12"/>
      <c r="IN51" s="12"/>
      <c r="IO51" s="12"/>
      <c r="IP51" s="12"/>
      <c r="IQ51" s="12"/>
      <c r="IR51" s="12"/>
      <c r="IS51" s="12"/>
      <c r="IT51" s="12"/>
      <c r="IU51" s="12"/>
      <c r="IV51" s="12"/>
      <c r="IW51" s="12"/>
      <c r="IX51" s="12"/>
      <c r="IY51" s="12"/>
      <c r="IZ51" s="12"/>
      <c r="JA51" s="12"/>
      <c r="JB51" s="12"/>
      <c r="JC51" s="12"/>
      <c r="JD51" s="12"/>
      <c r="JE51" s="12"/>
      <c r="JF51" s="12"/>
      <c r="JG51" s="12"/>
      <c r="JH51" s="12"/>
      <c r="JI51" s="12"/>
      <c r="JJ51" s="12"/>
      <c r="JK51" s="12"/>
      <c r="JL51" s="12"/>
      <c r="JM51" s="12"/>
      <c r="JN51" s="12"/>
      <c r="JO51" s="12"/>
      <c r="JP51" s="12"/>
      <c r="JQ51" s="12"/>
      <c r="JR51" s="12"/>
      <c r="JS51" s="12"/>
      <c r="JT51" s="12"/>
      <c r="JU51" s="12"/>
      <c r="JV51" s="12"/>
      <c r="JW51" s="12"/>
      <c r="JX51" s="12"/>
      <c r="JY51" s="12"/>
      <c r="JZ51" s="12"/>
      <c r="KA51" s="12"/>
      <c r="KB51" s="12"/>
      <c r="KC51" s="12"/>
      <c r="KD51" s="12"/>
      <c r="KE51" s="12"/>
      <c r="KF51" s="12"/>
      <c r="KG51" s="12"/>
      <c r="KH51" s="12"/>
      <c r="KI51" s="12"/>
      <c r="KJ51" s="12"/>
      <c r="KK51" s="12"/>
      <c r="KL51" s="12"/>
      <c r="KM51" s="12"/>
      <c r="KN51" s="12"/>
      <c r="KO51" s="12"/>
      <c r="KP51" s="12"/>
      <c r="KQ51" s="12"/>
      <c r="KR51" s="12"/>
      <c r="KS51" s="12"/>
      <c r="KT51" s="12"/>
      <c r="KU51" s="12"/>
      <c r="KV51" s="12"/>
      <c r="KW51" s="12"/>
      <c r="KX51" s="12"/>
      <c r="KY51" s="12"/>
      <c r="KZ51" s="12"/>
      <c r="LA51" s="12"/>
      <c r="LB51" s="12"/>
      <c r="LC51" s="12"/>
      <c r="LD51" s="12"/>
      <c r="LE51" s="12"/>
      <c r="LF51" s="12"/>
      <c r="LG51" s="12"/>
      <c r="LH51" s="12"/>
      <c r="LI51" s="12"/>
      <c r="LJ51" s="12"/>
      <c r="LK51" s="12"/>
      <c r="LL51" s="12"/>
      <c r="LM51" s="12"/>
      <c r="LN51" s="12"/>
      <c r="LO51" s="12"/>
      <c r="LP51" s="12"/>
      <c r="LQ51" s="12"/>
      <c r="LR51" s="12"/>
      <c r="LS51" s="12"/>
      <c r="LT51" s="12"/>
      <c r="LU51" s="12"/>
      <c r="LV51" s="12"/>
      <c r="LW51" s="12"/>
      <c r="LX51" s="12"/>
      <c r="LY51" s="12"/>
      <c r="LZ51" s="12"/>
      <c r="MA51" s="12"/>
      <c r="MB51" s="12"/>
      <c r="MC51" s="12"/>
      <c r="MD51" s="12"/>
      <c r="ME51" s="12"/>
      <c r="MF51" s="12"/>
      <c r="MG51" s="12"/>
      <c r="MH51" s="12"/>
      <c r="MI51" s="12"/>
      <c r="MJ51" s="12"/>
      <c r="MK51" s="12"/>
      <c r="ML51" s="12"/>
      <c r="MM51" s="12"/>
      <c r="MN51" s="12"/>
      <c r="MO51" s="12"/>
      <c r="MP51" s="12"/>
      <c r="MQ51" s="12"/>
      <c r="MR51" s="12"/>
      <c r="MS51" s="12"/>
      <c r="MT51" s="12"/>
      <c r="MU51" s="12"/>
      <c r="MV51" s="12"/>
      <c r="MW51" s="12"/>
      <c r="MX51" s="12"/>
      <c r="MY51" s="12"/>
      <c r="MZ51" s="12"/>
      <c r="NA51" s="12"/>
      <c r="NB51" s="12"/>
      <c r="NC51" s="12"/>
      <c r="ND51" s="12"/>
      <c r="NE51" s="12"/>
      <c r="NF51" s="12"/>
      <c r="NG51" s="12"/>
      <c r="NH51" s="12"/>
      <c r="NI51" s="12"/>
      <c r="NJ51" s="12"/>
      <c r="NK51" s="12"/>
      <c r="NL51" s="12"/>
      <c r="NM51" s="12"/>
      <c r="NN51" s="12"/>
      <c r="NO51" s="12"/>
      <c r="NP51" s="12"/>
      <c r="NQ51" s="12"/>
      <c r="NR51" s="12"/>
      <c r="NS51" s="12"/>
      <c r="NT51" s="12"/>
      <c r="NU51" s="12"/>
      <c r="NV51" s="12"/>
      <c r="NW51" s="12"/>
      <c r="NX51" s="12"/>
      <c r="NY51" s="12"/>
      <c r="NZ51" s="12"/>
      <c r="OA51" s="12"/>
      <c r="OB51" s="12"/>
      <c r="OC51" s="12"/>
      <c r="OD51" s="12"/>
      <c r="OE51" s="12"/>
      <c r="OF51" s="12"/>
      <c r="OG51" s="12"/>
      <c r="OH51" s="12"/>
      <c r="OI51" s="12"/>
      <c r="OJ51" s="12"/>
      <c r="OK51" s="12"/>
      <c r="OL51" s="12"/>
      <c r="OM51" s="12"/>
      <c r="ON51" s="12"/>
      <c r="OO51" s="12"/>
      <c r="OP51" s="12"/>
      <c r="OQ51" s="12"/>
      <c r="OR51" s="12"/>
      <c r="OS51" s="12"/>
      <c r="OT51" s="12"/>
      <c r="OU51" s="12"/>
      <c r="OV51" s="12"/>
      <c r="OW51" s="12"/>
      <c r="OX51" s="12"/>
      <c r="OY51" s="12"/>
      <c r="OZ51" s="12"/>
      <c r="PA51" s="12"/>
      <c r="PB51" s="12"/>
      <c r="PC51" s="12"/>
      <c r="PD51" s="12"/>
      <c r="PE51" s="12"/>
      <c r="PF51" s="12"/>
      <c r="PG51" s="12"/>
      <c r="PH51" s="12"/>
      <c r="PI51" s="12"/>
      <c r="PJ51" s="12"/>
      <c r="PK51" s="12"/>
      <c r="PL51" s="12"/>
      <c r="PM51" s="12"/>
      <c r="PN51" s="12"/>
      <c r="PO51" s="12"/>
      <c r="PP51" s="12"/>
      <c r="PQ51" s="12"/>
      <c r="PR51" s="12"/>
      <c r="PS51" s="12"/>
      <c r="PT51" s="12"/>
      <c r="PU51" s="12"/>
      <c r="PV51" s="12"/>
      <c r="PW51" s="12"/>
      <c r="PX51" s="12"/>
      <c r="PY51" s="12"/>
      <c r="PZ51" s="12"/>
      <c r="QA51" s="12"/>
      <c r="QB51" s="12"/>
      <c r="QC51" s="12"/>
      <c r="QD51" s="12"/>
      <c r="QE51" s="12"/>
      <c r="QF51" s="12"/>
      <c r="QG51" s="12"/>
      <c r="QH51" s="12"/>
      <c r="QI51" s="12"/>
      <c r="QJ51" s="12"/>
      <c r="QK51" s="12"/>
      <c r="QL51" s="12"/>
      <c r="QM51" s="12"/>
      <c r="QN51" s="12"/>
      <c r="QO51" s="12"/>
      <c r="QP51" s="12"/>
      <c r="QQ51" s="12"/>
      <c r="QR51" s="12"/>
      <c r="QS51" s="12"/>
      <c r="QT51" s="12"/>
      <c r="QU51" s="12"/>
      <c r="QV51" s="12"/>
      <c r="QW51" s="12"/>
      <c r="QX51" s="12"/>
      <c r="QY51" s="12"/>
      <c r="QZ51" s="12"/>
      <c r="RA51" s="12"/>
      <c r="RB51" s="12"/>
      <c r="RC51" s="12"/>
      <c r="RD51" s="12"/>
      <c r="RE51" s="12"/>
      <c r="RF51" s="12"/>
      <c r="RG51" s="12"/>
      <c r="RH51" s="12"/>
      <c r="RI51" s="12"/>
      <c r="RJ51" s="12"/>
      <c r="RK51" s="12"/>
      <c r="RL51" s="12"/>
      <c r="RM51" s="12"/>
      <c r="RN51" s="12"/>
      <c r="RO51" s="12"/>
      <c r="RP51" s="12"/>
      <c r="RQ51" s="12"/>
      <c r="RR51" s="12"/>
      <c r="RS51" s="12"/>
      <c r="RT51" s="12"/>
      <c r="RU51" s="12"/>
      <c r="RV51" s="12"/>
      <c r="RW51" s="12"/>
      <c r="RX51" s="12"/>
      <c r="RY51" s="12"/>
      <c r="RZ51" s="12"/>
      <c r="SA51" s="12"/>
      <c r="SB51" s="12"/>
      <c r="SC51" s="12"/>
      <c r="SD51" s="12"/>
      <c r="SE51" s="12"/>
      <c r="SF51" s="12"/>
      <c r="SG51" s="12"/>
      <c r="SH51" s="12"/>
      <c r="SI51" s="12"/>
      <c r="SJ51" s="12"/>
      <c r="SK51" s="12"/>
      <c r="SL51" s="12"/>
      <c r="SM51" s="12"/>
      <c r="SN51" s="12"/>
      <c r="SO51" s="12"/>
      <c r="SP51" s="12"/>
      <c r="SQ51" s="12"/>
      <c r="SR51" s="12"/>
      <c r="SS51" s="12"/>
      <c r="ST51" s="12"/>
      <c r="SU51" s="12"/>
      <c r="SV51" s="12"/>
      <c r="SW51" s="12"/>
      <c r="SX51" s="12"/>
      <c r="SY51" s="12"/>
      <c r="SZ51" s="12"/>
      <c r="TA51" s="12"/>
      <c r="TB51" s="12"/>
      <c r="TC51" s="12"/>
    </row>
    <row r="52" spans="1:523" s="383" customFormat="1" ht="13.5">
      <c r="A52" s="6">
        <v>203</v>
      </c>
      <c r="B52" s="29" t="s">
        <v>14</v>
      </c>
      <c r="C52" s="51" t="s">
        <v>74</v>
      </c>
      <c r="D52" s="19"/>
      <c r="E52" s="387">
        <v>2003</v>
      </c>
      <c r="F52" s="290" t="s">
        <v>334</v>
      </c>
      <c r="G52" s="192"/>
      <c r="H52" s="39">
        <v>2000</v>
      </c>
      <c r="I52" s="182">
        <v>4</v>
      </c>
      <c r="J52" s="12"/>
      <c r="K52" s="12"/>
      <c r="L52" s="18" t="b">
        <f>IF($A52/4&lt;=1,8,IF($A52/4&lt;=2,1,IF($A52/4&lt;=3,7,IF($A52/4&lt;=4,2,IF($A52/4&lt;=5,6,IF($A52/4&lt;=6,3,IF($A52/4&lt;=7,5,IF($A52/4&lt;=8,4,IF($A52/4&lt;=9,8,IF($A52/4&lt;=10,1,IF($A52/4&lt;=11,7,IF($A52/4&lt;=12,2,IF($A52/4&lt;=13,6,IF($A52/4&lt;=14,3,IF($A52/4&lt;=15,5,IF($A52/4&lt;=16,4,IF($A52/4&lt;=17,8,IF($A52/4&lt;=18,1,IF($A52/4&lt;=19,7,IF($A52/4&lt;=20,2,IF($A52/4&lt;=21,6,IF($A52/4&lt;=22,3,IF($A52/4&lt;=23,5,IF($A52/4&lt;=24,4,IF($A52/4&lt;=25,8,IF($A52/4&lt;=26,1,IF($A52/4&lt;=27,7,IF($A52/4&lt;=28,2,IF($A52/4&lt;=29,6,IF($A52/4&lt;=30,3,IF($A52/4&lt;=31,5,IF($A52/4&lt;=32,4,IF($A52/4&lt;=33,8,IF($A52/4&lt;=34,1,IF($A52/4&lt;=35,7,IF($A52/4&lt;=36,2,IF($A52/4&lt;=37,6,IF($A52/4&lt;=38,3,IF($A52/4&lt;=39,5,IF($A52/4&lt;=40,4))))))))))))))))))))))))))))))))))))))))</f>
        <v>0</v>
      </c>
      <c r="M52" s="383">
        <f>L52+200</f>
        <v>200</v>
      </c>
      <c r="N52" s="12"/>
      <c r="O52" s="18" t="b">
        <f>IF($A52/4&lt;=1,4,IF($A52/4&lt;=2,1,IF($A52/4&lt;=3,3,IF($A52/4&lt;=4,2,IF($A52/4&lt;=5,4,IF($A52/4&lt;=6,1,IF($A52/4&lt;=7,3,IF($A52/4&lt;=8,2,IF($A52/4&lt;=9,4,IF($A52/4&lt;=10,1,IF($A52/4&lt;=11,3,IF($A52/4&lt;=12,2,IF($A52/4&lt;=13,4,IF($A52/4&lt;=14,1,IF($A52/4&lt;=15,3,IF($A52/4&lt;=16,2,IF($A52/4&lt;=17,4,IF($A52/4&lt;=18,1,IF($A52/4&lt;=19,3,IF($A52/4&lt;=20,2,IF($A52/4&lt;=21,4,IF($A52/4&lt;=22,1,IF($A52/4&lt;=23,3,IF($A52/4&lt;=24,2,IF($A52/4&lt;=25,4,IF($A52/4&lt;=26,1,IF($A52/4&lt;=27,3,IF($A52/4&lt;=28,2,IF($A52/4&lt;=29,4,IF($A52/4&lt;=30,1,IF($A52/4&lt;=31,3,IF($A52/4&lt;=32,2,IF($A52/4&lt;=33,4,IF($A52/4&lt;=34,1,IF($A52/4&lt;=35,3,IF($A52/4&lt;=36,2))))))))))))))))))))))))))))))))))))</f>
        <v>0</v>
      </c>
      <c r="P52" s="383">
        <f>P44+10</f>
        <v>10</v>
      </c>
      <c r="Q52" s="12"/>
      <c r="R52" s="18" t="b">
        <f>IF($A52/4&lt;=1,6,IF($A52/4&lt;=2,1,IF($A52/4&lt;=3,5,IF($A52/4&lt;=4,2,IF($A52/4&lt;=5,4,IF($A52/4&lt;=6,3,IF($A52/4&lt;=7,6,IF($A52/4&lt;=8,1,IF($A52/4&lt;=9,5,IF($A52/4&lt;=10,2,IF($A52/4&lt;=11,4,IF($A52/4&lt;=12,3,IF($A52/4&lt;=13,6,IF($A52/4&lt;=14,1,IF($A52/4&lt;=15,5,IF($A52/4&lt;=16,2,IF($A52/4&lt;=17,4,IF($A52/4&lt;=18,3,IF($A52/4&lt;=19,6,IF($A52/4&lt;=20,1,IF($A52/4&lt;=21,5,IF($A52/4&lt;=22,2,IF($A52/4&lt;=23,4,IF($A52/4&lt;=24,3,IF($A52/4&lt;=25,6,IF($A52/4&lt;=26,1,IF($A52/4&lt;=27,5,IF($A52/4&lt;=28,2,IF($A52/4&lt;=29,4,IF($A52/4&lt;=30,3,IF($A52/4&lt;=31,6,IF($A52/4&lt;=32,1,IF($A52/4&lt;=33,5,IF($A52/4&lt;=34,2,IF($A52/4&lt;=35,4,IF($A52/4&lt;=36,3))))))))))))))))))))))))))))))))))))</f>
        <v>0</v>
      </c>
      <c r="S52" s="383">
        <f>R52+200</f>
        <v>200</v>
      </c>
      <c r="T52" s="12"/>
      <c r="U52" s="50">
        <f t="shared" si="9"/>
        <v>3</v>
      </c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  <c r="ER52" s="12"/>
      <c r="ES52" s="12"/>
      <c r="ET52" s="12"/>
      <c r="EU52" s="12"/>
      <c r="EV52" s="12"/>
      <c r="EW52" s="12"/>
      <c r="EX52" s="12"/>
      <c r="EY52" s="12"/>
      <c r="EZ52" s="12"/>
      <c r="FA52" s="12"/>
      <c r="FB52" s="12"/>
      <c r="FC52" s="12"/>
      <c r="FD52" s="12"/>
      <c r="FE52" s="12"/>
      <c r="FF52" s="12"/>
      <c r="FG52" s="12"/>
      <c r="FH52" s="12"/>
      <c r="FI52" s="12"/>
      <c r="FJ52" s="12"/>
      <c r="FK52" s="12"/>
      <c r="FL52" s="12"/>
      <c r="FM52" s="12"/>
      <c r="FN52" s="12"/>
      <c r="FO52" s="12"/>
      <c r="FP52" s="12"/>
      <c r="FQ52" s="12"/>
      <c r="FR52" s="12"/>
      <c r="FS52" s="12"/>
      <c r="FT52" s="12"/>
      <c r="FU52" s="12"/>
      <c r="FV52" s="12"/>
      <c r="FW52" s="12"/>
      <c r="FX52" s="12"/>
      <c r="FY52" s="12"/>
      <c r="FZ52" s="12"/>
      <c r="GA52" s="12"/>
      <c r="GB52" s="12"/>
      <c r="GC52" s="12"/>
      <c r="GD52" s="12"/>
      <c r="GE52" s="12"/>
      <c r="GF52" s="12"/>
      <c r="GG52" s="12"/>
      <c r="GH52" s="12"/>
      <c r="GI52" s="12"/>
      <c r="GJ52" s="12"/>
      <c r="GK52" s="12"/>
      <c r="GL52" s="12"/>
      <c r="GM52" s="12"/>
      <c r="GN52" s="12"/>
      <c r="GO52" s="12"/>
      <c r="GP52" s="12"/>
      <c r="GQ52" s="12"/>
      <c r="GR52" s="12"/>
      <c r="GS52" s="12"/>
      <c r="GT52" s="12"/>
      <c r="GU52" s="12"/>
      <c r="GV52" s="12"/>
      <c r="GW52" s="12"/>
      <c r="GX52" s="12"/>
      <c r="GY52" s="12"/>
      <c r="GZ52" s="12"/>
      <c r="HA52" s="12"/>
      <c r="HB52" s="12"/>
      <c r="HC52" s="12"/>
      <c r="HD52" s="12"/>
      <c r="HE52" s="12"/>
      <c r="HF52" s="12"/>
      <c r="HG52" s="12"/>
      <c r="HH52" s="12"/>
      <c r="HI52" s="12"/>
      <c r="HJ52" s="12"/>
      <c r="HK52" s="12"/>
      <c r="HL52" s="12"/>
      <c r="HM52" s="12"/>
      <c r="HN52" s="12"/>
      <c r="HO52" s="12"/>
      <c r="HP52" s="12"/>
      <c r="HQ52" s="12"/>
      <c r="HR52" s="12"/>
      <c r="HS52" s="12"/>
      <c r="HT52" s="12"/>
      <c r="HU52" s="12"/>
      <c r="HV52" s="12"/>
      <c r="HW52" s="12"/>
      <c r="HX52" s="12"/>
      <c r="HY52" s="12"/>
      <c r="HZ52" s="12"/>
      <c r="IA52" s="12"/>
      <c r="IB52" s="12"/>
      <c r="IC52" s="12"/>
      <c r="ID52" s="12"/>
      <c r="IE52" s="12"/>
      <c r="IF52" s="12"/>
      <c r="IG52" s="12"/>
      <c r="IH52" s="12"/>
      <c r="II52" s="12"/>
      <c r="IJ52" s="12"/>
      <c r="IK52" s="12"/>
      <c r="IL52" s="12"/>
      <c r="IM52" s="12"/>
      <c r="IN52" s="12"/>
      <c r="IO52" s="12"/>
      <c r="IP52" s="12"/>
      <c r="IQ52" s="12"/>
      <c r="IR52" s="12"/>
      <c r="IS52" s="12"/>
      <c r="IT52" s="12"/>
      <c r="IU52" s="12"/>
      <c r="IV52" s="12"/>
      <c r="IW52" s="12"/>
      <c r="IX52" s="12"/>
      <c r="IY52" s="12"/>
      <c r="IZ52" s="12"/>
      <c r="JA52" s="12"/>
      <c r="JB52" s="12"/>
      <c r="JC52" s="12"/>
      <c r="JD52" s="12"/>
      <c r="JE52" s="12"/>
      <c r="JF52" s="12"/>
      <c r="JG52" s="12"/>
      <c r="JH52" s="12"/>
      <c r="JI52" s="12"/>
      <c r="JJ52" s="12"/>
      <c r="JK52" s="12"/>
      <c r="JL52" s="12"/>
      <c r="JM52" s="12"/>
      <c r="JN52" s="12"/>
      <c r="JO52" s="12"/>
      <c r="JP52" s="12"/>
      <c r="JQ52" s="12"/>
      <c r="JR52" s="12"/>
      <c r="JS52" s="12"/>
      <c r="JT52" s="12"/>
      <c r="JU52" s="12"/>
      <c r="JV52" s="12"/>
      <c r="JW52" s="12"/>
      <c r="JX52" s="12"/>
      <c r="JY52" s="12"/>
      <c r="JZ52" s="12"/>
      <c r="KA52" s="12"/>
      <c r="KB52" s="12"/>
      <c r="KC52" s="12"/>
      <c r="KD52" s="12"/>
      <c r="KE52" s="12"/>
      <c r="KF52" s="12"/>
      <c r="KG52" s="12"/>
      <c r="KH52" s="12"/>
      <c r="KI52" s="12"/>
      <c r="KJ52" s="12"/>
      <c r="KK52" s="12"/>
      <c r="KL52" s="12"/>
      <c r="KM52" s="12"/>
      <c r="KN52" s="12"/>
      <c r="KO52" s="12"/>
      <c r="KP52" s="12"/>
      <c r="KQ52" s="12"/>
      <c r="KR52" s="12"/>
      <c r="KS52" s="12"/>
      <c r="KT52" s="12"/>
      <c r="KU52" s="12"/>
      <c r="KV52" s="12"/>
      <c r="KW52" s="12"/>
      <c r="KX52" s="12"/>
      <c r="KY52" s="12"/>
      <c r="KZ52" s="12"/>
      <c r="LA52" s="12"/>
      <c r="LB52" s="12"/>
      <c r="LC52" s="12"/>
      <c r="LD52" s="12"/>
      <c r="LE52" s="12"/>
      <c r="LF52" s="12"/>
      <c r="LG52" s="12"/>
      <c r="LH52" s="12"/>
      <c r="LI52" s="12"/>
      <c r="LJ52" s="12"/>
      <c r="LK52" s="12"/>
      <c r="LL52" s="12"/>
      <c r="LM52" s="12"/>
      <c r="LN52" s="12"/>
      <c r="LO52" s="12"/>
      <c r="LP52" s="12"/>
      <c r="LQ52" s="12"/>
      <c r="LR52" s="12"/>
      <c r="LS52" s="12"/>
      <c r="LT52" s="12"/>
      <c r="LU52" s="12"/>
      <c r="LV52" s="12"/>
      <c r="LW52" s="12"/>
      <c r="LX52" s="12"/>
      <c r="LY52" s="12"/>
      <c r="LZ52" s="12"/>
      <c r="MA52" s="12"/>
      <c r="MB52" s="12"/>
      <c r="MC52" s="12"/>
      <c r="MD52" s="12"/>
      <c r="ME52" s="12"/>
      <c r="MF52" s="12"/>
      <c r="MG52" s="12"/>
      <c r="MH52" s="12"/>
      <c r="MI52" s="12"/>
      <c r="MJ52" s="12"/>
      <c r="MK52" s="12"/>
      <c r="ML52" s="12"/>
      <c r="MM52" s="12"/>
      <c r="MN52" s="12"/>
      <c r="MO52" s="12"/>
      <c r="MP52" s="12"/>
      <c r="MQ52" s="12"/>
      <c r="MR52" s="12"/>
      <c r="MS52" s="12"/>
      <c r="MT52" s="12"/>
      <c r="MU52" s="12"/>
      <c r="MV52" s="12"/>
      <c r="MW52" s="12"/>
      <c r="MX52" s="12"/>
      <c r="MY52" s="12"/>
      <c r="MZ52" s="12"/>
      <c r="NA52" s="12"/>
      <c r="NB52" s="12"/>
      <c r="NC52" s="12"/>
      <c r="ND52" s="12"/>
      <c r="NE52" s="12"/>
      <c r="NF52" s="12"/>
      <c r="NG52" s="12"/>
      <c r="NH52" s="12"/>
      <c r="NI52" s="12"/>
      <c r="NJ52" s="12"/>
      <c r="NK52" s="12"/>
      <c r="NL52" s="12"/>
      <c r="NM52" s="12"/>
      <c r="NN52" s="12"/>
      <c r="NO52" s="12"/>
      <c r="NP52" s="12"/>
      <c r="NQ52" s="12"/>
      <c r="NR52" s="12"/>
      <c r="NS52" s="12"/>
      <c r="NT52" s="12"/>
      <c r="NU52" s="12"/>
      <c r="NV52" s="12"/>
      <c r="NW52" s="12"/>
      <c r="NX52" s="12"/>
      <c r="NY52" s="12"/>
      <c r="NZ52" s="12"/>
      <c r="OA52" s="12"/>
      <c r="OB52" s="12"/>
      <c r="OC52" s="12"/>
      <c r="OD52" s="12"/>
      <c r="OE52" s="12"/>
      <c r="OF52" s="12"/>
      <c r="OG52" s="12"/>
      <c r="OH52" s="12"/>
      <c r="OI52" s="12"/>
      <c r="OJ52" s="12"/>
      <c r="OK52" s="12"/>
      <c r="OL52" s="12"/>
      <c r="OM52" s="12"/>
      <c r="ON52" s="12"/>
      <c r="OO52" s="12"/>
      <c r="OP52" s="12"/>
      <c r="OQ52" s="12"/>
      <c r="OR52" s="12"/>
      <c r="OS52" s="12"/>
      <c r="OT52" s="12"/>
      <c r="OU52" s="12"/>
      <c r="OV52" s="12"/>
      <c r="OW52" s="12"/>
      <c r="OX52" s="12"/>
      <c r="OY52" s="12"/>
      <c r="OZ52" s="12"/>
      <c r="PA52" s="12"/>
      <c r="PB52" s="12"/>
      <c r="PC52" s="12"/>
      <c r="PD52" s="12"/>
      <c r="PE52" s="12"/>
      <c r="PF52" s="12"/>
      <c r="PG52" s="12"/>
      <c r="PH52" s="12"/>
      <c r="PI52" s="12"/>
      <c r="PJ52" s="12"/>
      <c r="PK52" s="12"/>
      <c r="PL52" s="12"/>
      <c r="PM52" s="12"/>
      <c r="PN52" s="12"/>
      <c r="PO52" s="12"/>
      <c r="PP52" s="12"/>
      <c r="PQ52" s="12"/>
      <c r="PR52" s="12"/>
      <c r="PS52" s="12"/>
      <c r="PT52" s="12"/>
      <c r="PU52" s="12"/>
      <c r="PV52" s="12"/>
      <c r="PW52" s="12"/>
      <c r="PX52" s="12"/>
      <c r="PY52" s="12"/>
      <c r="PZ52" s="12"/>
      <c r="QA52" s="12"/>
      <c r="QB52" s="12"/>
      <c r="QC52" s="12"/>
      <c r="QD52" s="12"/>
      <c r="QE52" s="12"/>
      <c r="QF52" s="12"/>
      <c r="QG52" s="12"/>
      <c r="QH52" s="12"/>
      <c r="QI52" s="12"/>
      <c r="QJ52" s="12"/>
      <c r="QK52" s="12"/>
      <c r="QL52" s="12"/>
      <c r="QM52" s="12"/>
      <c r="QN52" s="12"/>
      <c r="QO52" s="12"/>
      <c r="QP52" s="12"/>
      <c r="QQ52" s="12"/>
      <c r="QR52" s="12"/>
      <c r="QS52" s="12"/>
      <c r="QT52" s="12"/>
      <c r="QU52" s="12"/>
      <c r="QV52" s="12"/>
      <c r="QW52" s="12"/>
      <c r="QX52" s="12"/>
      <c r="QY52" s="12"/>
      <c r="QZ52" s="12"/>
      <c r="RA52" s="12"/>
      <c r="RB52" s="12"/>
      <c r="RC52" s="12"/>
      <c r="RD52" s="12"/>
      <c r="RE52" s="12"/>
      <c r="RF52" s="12"/>
      <c r="RG52" s="12"/>
      <c r="RH52" s="12"/>
      <c r="RI52" s="12"/>
      <c r="RJ52" s="12"/>
      <c r="RK52" s="12"/>
      <c r="RL52" s="12"/>
      <c r="RM52" s="12"/>
      <c r="RN52" s="12"/>
      <c r="RO52" s="12"/>
      <c r="RP52" s="12"/>
      <c r="RQ52" s="12"/>
      <c r="RR52" s="12"/>
      <c r="RS52" s="12"/>
      <c r="RT52" s="12"/>
      <c r="RU52" s="12"/>
      <c r="RV52" s="12"/>
      <c r="RW52" s="12"/>
      <c r="RX52" s="12"/>
      <c r="RY52" s="12"/>
      <c r="RZ52" s="12"/>
      <c r="SA52" s="12"/>
      <c r="SB52" s="12"/>
      <c r="SC52" s="12"/>
      <c r="SD52" s="12"/>
      <c r="SE52" s="12"/>
      <c r="SF52" s="12"/>
      <c r="SG52" s="12"/>
      <c r="SH52" s="12"/>
      <c r="SI52" s="12"/>
      <c r="SJ52" s="12"/>
      <c r="SK52" s="12"/>
      <c r="SL52" s="12"/>
      <c r="SM52" s="12"/>
      <c r="SN52" s="12"/>
      <c r="SO52" s="12"/>
      <c r="SP52" s="12"/>
      <c r="SQ52" s="12"/>
      <c r="SR52" s="12"/>
      <c r="SS52" s="12"/>
      <c r="ST52" s="12"/>
      <c r="SU52" s="12"/>
      <c r="SV52" s="12"/>
      <c r="SW52" s="12"/>
      <c r="SX52" s="12"/>
      <c r="SY52" s="12"/>
      <c r="SZ52" s="12"/>
      <c r="TA52" s="12"/>
      <c r="TB52" s="12"/>
      <c r="TC52" s="12"/>
    </row>
    <row r="53" spans="1:523" s="383" customFormat="1" ht="14.25">
      <c r="A53" s="403">
        <f>A54</f>
        <v>204</v>
      </c>
      <c r="C53" s="384"/>
      <c r="D53" s="27"/>
      <c r="F53" s="388" t="str">
        <f>F54</f>
        <v>Клуб 9</v>
      </c>
      <c r="H53" s="404">
        <f>H54</f>
        <v>350</v>
      </c>
      <c r="I53" s="129"/>
      <c r="L53" s="128"/>
      <c r="O53" s="128"/>
      <c r="R53" s="128"/>
      <c r="U53" s="50">
        <f t="shared" si="9"/>
        <v>4</v>
      </c>
      <c r="CI53" s="385"/>
      <c r="CW53" s="386"/>
      <c r="CX53" s="386"/>
      <c r="CY53" s="386"/>
    </row>
    <row r="54" spans="1:523" s="383" customFormat="1" ht="13.5">
      <c r="A54" s="6">
        <v>204</v>
      </c>
      <c r="B54" s="29" t="s">
        <v>1</v>
      </c>
      <c r="C54" s="51" t="s">
        <v>72</v>
      </c>
      <c r="D54" s="12"/>
      <c r="E54" s="26">
        <v>2001</v>
      </c>
      <c r="F54" s="290" t="s">
        <v>331</v>
      </c>
      <c r="G54" s="192"/>
      <c r="H54" s="39">
        <v>350</v>
      </c>
      <c r="I54" s="182">
        <v>1</v>
      </c>
      <c r="J54" s="12"/>
      <c r="K54" s="12"/>
      <c r="L54" s="18" t="b">
        <f>IF($A54/4&lt;=1,8,IF($A54/4&lt;=2,1,IF($A54/4&lt;=3,7,IF($A54/4&lt;=4,2,IF($A54/4&lt;=5,6,IF($A54/4&lt;=6,3,IF($A54/4&lt;=7,5,IF($A54/4&lt;=8,4,IF($A54/4&lt;=9,8,IF($A54/4&lt;=10,1,IF($A54/4&lt;=11,7,IF($A54/4&lt;=12,2,IF($A54/4&lt;=13,6,IF($A54/4&lt;=14,3,IF($A54/4&lt;=15,5,IF($A54/4&lt;=16,4,IF($A54/4&lt;=17,8,IF($A54/4&lt;=18,1,IF($A54/4&lt;=19,7,IF($A54/4&lt;=20,2,IF($A54/4&lt;=21,6,IF($A54/4&lt;=22,3,IF($A54/4&lt;=23,5,IF($A54/4&lt;=24,4,IF($A54/4&lt;=25,8,IF($A54/4&lt;=26,1,IF($A54/4&lt;=27,7,IF($A54/4&lt;=28,2,IF($A54/4&lt;=29,6,IF($A54/4&lt;=30,3,IF($A54/4&lt;=31,5,IF($A54/4&lt;=32,4,IF($A54/4&lt;=33,8,IF($A54/4&lt;=34,1,IF($A54/4&lt;=35,7,IF($A54/4&lt;=36,2,IF($A54/4&lt;=37,6,IF($A54/4&lt;=38,3,IF($A54/4&lt;=39,5,IF($A54/4&lt;=40,4))))))))))))))))))))))))))))))))))))))))</f>
        <v>0</v>
      </c>
      <c r="M54" s="383">
        <f>L54+200</f>
        <v>200</v>
      </c>
      <c r="N54" s="12"/>
      <c r="O54" s="18" t="b">
        <f>IF($A54/4&lt;=1,4,IF($A54/4&lt;=2,1,IF($A54/4&lt;=3,3,IF($A54/4&lt;=4,2,IF($A54/4&lt;=5,4,IF($A54/4&lt;=6,1,IF($A54/4&lt;=7,3,IF($A54/4&lt;=8,2,IF($A54/4&lt;=9,4,IF($A54/4&lt;=10,1,IF($A54/4&lt;=11,3,IF($A54/4&lt;=12,2,IF($A54/4&lt;=13,4,IF($A54/4&lt;=14,1,IF($A54/4&lt;=15,3,IF($A54/4&lt;=16,2,IF($A54/4&lt;=17,4,IF($A54/4&lt;=18,1,IF($A54/4&lt;=19,3,IF($A54/4&lt;=20,2,IF($A54/4&lt;=21,4,IF($A54/4&lt;=22,1,IF($A54/4&lt;=23,3,IF($A54/4&lt;=24,2,IF($A54/4&lt;=25,4,IF($A54/4&lt;=26,1,IF($A54/4&lt;=27,3,IF($A54/4&lt;=28,2,IF($A54/4&lt;=29,4,IF($A54/4&lt;=30,1,IF($A54/4&lt;=31,3,IF($A54/4&lt;=32,2,IF($A54/4&lt;=33,4,IF($A54/4&lt;=34,1,IF($A54/4&lt;=35,3,IF($A54/4&lt;=36,2))))))))))))))))))))))))))))))))))))</f>
        <v>0</v>
      </c>
      <c r="P54" s="383" t="e">
        <f>#REF!+10</f>
        <v>#REF!</v>
      </c>
      <c r="Q54" s="12"/>
      <c r="R54" s="18" t="b">
        <f>IF($A54/4&lt;=1,6,IF($A54/4&lt;=2,1,IF($A54/4&lt;=3,5,IF($A54/4&lt;=4,2,IF($A54/4&lt;=5,4,IF($A54/4&lt;=6,3,IF($A54/4&lt;=7,6,IF($A54/4&lt;=8,1,IF($A54/4&lt;=9,5,IF($A54/4&lt;=10,2,IF($A54/4&lt;=11,4,IF($A54/4&lt;=12,3,IF($A54/4&lt;=13,6,IF($A54/4&lt;=14,1,IF($A54/4&lt;=15,5,IF($A54/4&lt;=16,2,IF($A54/4&lt;=17,4,IF($A54/4&lt;=18,3,IF($A54/4&lt;=19,6,IF($A54/4&lt;=20,1,IF($A54/4&lt;=21,5,IF($A54/4&lt;=22,2,IF($A54/4&lt;=23,4,IF($A54/4&lt;=24,3,IF($A54/4&lt;=25,6,IF($A54/4&lt;=26,1,IF($A54/4&lt;=27,5,IF($A54/4&lt;=28,2,IF($A54/4&lt;=29,4,IF($A54/4&lt;=30,3,IF($A54/4&lt;=31,6,IF($A54/4&lt;=32,1,IF($A54/4&lt;=33,5,IF($A54/4&lt;=34,2,IF($A54/4&lt;=35,4,IF($A54/4&lt;=36,3))))))))))))))))))))))))))))))))))))</f>
        <v>0</v>
      </c>
      <c r="S54" s="12">
        <f>S37+10</f>
        <v>10</v>
      </c>
      <c r="T54" s="12"/>
      <c r="U54" s="50">
        <f t="shared" si="9"/>
        <v>4</v>
      </c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/>
      <c r="EH54" s="12"/>
      <c r="EI54" s="12"/>
      <c r="EJ54" s="12"/>
      <c r="EK54" s="12"/>
      <c r="EL54" s="12"/>
      <c r="EM54" s="12"/>
      <c r="EN54" s="12"/>
      <c r="EO54" s="12"/>
      <c r="EP54" s="12"/>
      <c r="EQ54" s="12"/>
      <c r="ER54" s="12"/>
      <c r="ES54" s="12"/>
      <c r="ET54" s="12"/>
      <c r="EU54" s="12"/>
      <c r="EV54" s="12"/>
      <c r="EW54" s="12"/>
      <c r="EX54" s="12"/>
      <c r="EY54" s="12"/>
      <c r="EZ54" s="12"/>
      <c r="FA54" s="12"/>
      <c r="FB54" s="12"/>
      <c r="FC54" s="12"/>
      <c r="FD54" s="12"/>
      <c r="FE54" s="12"/>
      <c r="FF54" s="12"/>
      <c r="FG54" s="12"/>
      <c r="FH54" s="12"/>
      <c r="FI54" s="12"/>
      <c r="FJ54" s="12"/>
      <c r="FK54" s="12"/>
      <c r="FL54" s="12"/>
      <c r="FM54" s="12"/>
      <c r="FN54" s="12"/>
      <c r="FO54" s="12"/>
      <c r="FP54" s="12"/>
      <c r="FQ54" s="12"/>
      <c r="FR54" s="12"/>
      <c r="FS54" s="12"/>
      <c r="FT54" s="12"/>
      <c r="FU54" s="12"/>
      <c r="FV54" s="12"/>
      <c r="FW54" s="12"/>
      <c r="FX54" s="12"/>
      <c r="FY54" s="12"/>
      <c r="FZ54" s="12"/>
      <c r="GA54" s="12"/>
      <c r="GB54" s="12"/>
      <c r="GC54" s="12"/>
      <c r="GD54" s="12"/>
      <c r="GE54" s="12"/>
      <c r="GF54" s="12"/>
      <c r="GG54" s="12"/>
      <c r="GH54" s="12"/>
      <c r="GI54" s="12"/>
      <c r="GJ54" s="12"/>
      <c r="GK54" s="12"/>
      <c r="GL54" s="12"/>
      <c r="GM54" s="12"/>
      <c r="GN54" s="12"/>
      <c r="GO54" s="12"/>
      <c r="GP54" s="12"/>
      <c r="GQ54" s="12"/>
      <c r="GR54" s="12"/>
      <c r="GS54" s="12"/>
      <c r="GT54" s="12"/>
      <c r="GU54" s="12"/>
      <c r="GV54" s="12"/>
      <c r="GW54" s="12"/>
      <c r="GX54" s="12"/>
      <c r="GY54" s="12"/>
      <c r="GZ54" s="12"/>
      <c r="HA54" s="12"/>
      <c r="HB54" s="12"/>
      <c r="HC54" s="12"/>
      <c r="HD54" s="12"/>
      <c r="HE54" s="12"/>
      <c r="HF54" s="12"/>
      <c r="HG54" s="12"/>
      <c r="HH54" s="12"/>
      <c r="HI54" s="12"/>
      <c r="HJ54" s="12"/>
      <c r="HK54" s="12"/>
      <c r="HL54" s="12"/>
      <c r="HM54" s="12"/>
      <c r="HN54" s="12"/>
      <c r="HO54" s="12"/>
      <c r="HP54" s="12"/>
      <c r="HQ54" s="12"/>
      <c r="HR54" s="12"/>
      <c r="HS54" s="12"/>
      <c r="HT54" s="12"/>
      <c r="HU54" s="12"/>
      <c r="HV54" s="12"/>
      <c r="HW54" s="12"/>
      <c r="HX54" s="12"/>
      <c r="HY54" s="12"/>
      <c r="HZ54" s="12"/>
      <c r="IA54" s="12"/>
      <c r="IB54" s="12"/>
      <c r="IC54" s="12"/>
      <c r="ID54" s="12"/>
      <c r="IE54" s="12"/>
      <c r="IF54" s="12"/>
      <c r="IG54" s="12"/>
      <c r="IH54" s="12"/>
      <c r="II54" s="12"/>
      <c r="IJ54" s="12"/>
      <c r="IK54" s="12"/>
      <c r="IL54" s="12"/>
      <c r="IM54" s="12"/>
      <c r="IN54" s="12"/>
      <c r="IO54" s="12"/>
      <c r="IP54" s="12"/>
      <c r="IQ54" s="12"/>
      <c r="IR54" s="12"/>
      <c r="IS54" s="12"/>
      <c r="IT54" s="12"/>
      <c r="IU54" s="12"/>
      <c r="IV54" s="12"/>
      <c r="IW54" s="12"/>
      <c r="IX54" s="12"/>
      <c r="IY54" s="12"/>
      <c r="IZ54" s="12"/>
      <c r="JA54" s="12"/>
      <c r="JB54" s="12"/>
      <c r="JC54" s="12"/>
      <c r="JD54" s="12"/>
      <c r="JE54" s="12"/>
      <c r="JF54" s="12"/>
      <c r="JG54" s="12"/>
      <c r="JH54" s="12"/>
      <c r="JI54" s="12"/>
      <c r="JJ54" s="12"/>
      <c r="JK54" s="12"/>
      <c r="JL54" s="12"/>
      <c r="JM54" s="12"/>
      <c r="JN54" s="12"/>
      <c r="JO54" s="12"/>
      <c r="JP54" s="12"/>
      <c r="JQ54" s="12"/>
      <c r="JR54" s="12"/>
      <c r="JS54" s="12"/>
      <c r="JT54" s="12"/>
      <c r="JU54" s="12"/>
      <c r="JV54" s="12"/>
      <c r="JW54" s="12"/>
      <c r="JX54" s="12"/>
      <c r="JY54" s="12"/>
      <c r="JZ54" s="12"/>
      <c r="KA54" s="12"/>
      <c r="KB54" s="12"/>
      <c r="KC54" s="12"/>
      <c r="KD54" s="12"/>
      <c r="KE54" s="12"/>
      <c r="KF54" s="12"/>
      <c r="KG54" s="12"/>
      <c r="KH54" s="12"/>
      <c r="KI54" s="12"/>
      <c r="KJ54" s="12"/>
      <c r="KK54" s="12"/>
      <c r="KL54" s="12"/>
      <c r="KM54" s="12"/>
      <c r="KN54" s="12"/>
      <c r="KO54" s="12"/>
      <c r="KP54" s="12"/>
      <c r="KQ54" s="12"/>
      <c r="KR54" s="12"/>
      <c r="KS54" s="12"/>
      <c r="KT54" s="12"/>
      <c r="KU54" s="12"/>
      <c r="KV54" s="12"/>
      <c r="KW54" s="12"/>
      <c r="KX54" s="12"/>
      <c r="KY54" s="12"/>
      <c r="KZ54" s="12"/>
      <c r="LA54" s="12"/>
      <c r="LB54" s="12"/>
      <c r="LC54" s="12"/>
      <c r="LD54" s="12"/>
      <c r="LE54" s="12"/>
      <c r="LF54" s="12"/>
      <c r="LG54" s="12"/>
      <c r="LH54" s="12"/>
      <c r="LI54" s="12"/>
      <c r="LJ54" s="12"/>
      <c r="LK54" s="12"/>
      <c r="LL54" s="12"/>
      <c r="LM54" s="12"/>
      <c r="LN54" s="12"/>
      <c r="LO54" s="12"/>
      <c r="LP54" s="12"/>
      <c r="LQ54" s="12"/>
      <c r="LR54" s="12"/>
      <c r="LS54" s="12"/>
      <c r="LT54" s="12"/>
      <c r="LU54" s="12"/>
      <c r="LV54" s="12"/>
      <c r="LW54" s="12"/>
      <c r="LX54" s="12"/>
      <c r="LY54" s="12"/>
      <c r="LZ54" s="12"/>
      <c r="MA54" s="12"/>
      <c r="MB54" s="12"/>
      <c r="MC54" s="12"/>
      <c r="MD54" s="12"/>
      <c r="ME54" s="12"/>
      <c r="MF54" s="12"/>
      <c r="MG54" s="12"/>
      <c r="MH54" s="12"/>
      <c r="MI54" s="12"/>
      <c r="MJ54" s="12"/>
      <c r="MK54" s="12"/>
      <c r="ML54" s="12"/>
      <c r="MM54" s="12"/>
      <c r="MN54" s="12"/>
      <c r="MO54" s="12"/>
      <c r="MP54" s="12"/>
      <c r="MQ54" s="12"/>
      <c r="MR54" s="12"/>
      <c r="MS54" s="12"/>
      <c r="MT54" s="12"/>
      <c r="MU54" s="12"/>
      <c r="MV54" s="12"/>
      <c r="MW54" s="12"/>
      <c r="MX54" s="12"/>
      <c r="MY54" s="12"/>
      <c r="MZ54" s="12"/>
      <c r="NA54" s="12"/>
      <c r="NB54" s="12"/>
      <c r="NC54" s="12"/>
      <c r="ND54" s="12"/>
      <c r="NE54" s="12"/>
      <c r="NF54" s="12"/>
      <c r="NG54" s="12"/>
      <c r="NH54" s="12"/>
      <c r="NI54" s="12"/>
      <c r="NJ54" s="12"/>
      <c r="NK54" s="12"/>
      <c r="NL54" s="12"/>
      <c r="NM54" s="12"/>
      <c r="NN54" s="12"/>
      <c r="NO54" s="12"/>
      <c r="NP54" s="12"/>
      <c r="NQ54" s="12"/>
      <c r="NR54" s="12"/>
      <c r="NS54" s="12"/>
      <c r="NT54" s="12"/>
      <c r="NU54" s="12"/>
      <c r="NV54" s="12"/>
      <c r="NW54" s="12"/>
      <c r="NX54" s="12"/>
      <c r="NY54" s="12"/>
      <c r="NZ54" s="12"/>
      <c r="OA54" s="12"/>
      <c r="OB54" s="12"/>
      <c r="OC54" s="12"/>
      <c r="OD54" s="12"/>
      <c r="OE54" s="12"/>
      <c r="OF54" s="12"/>
      <c r="OG54" s="12"/>
      <c r="OH54" s="12"/>
      <c r="OI54" s="12"/>
      <c r="OJ54" s="12"/>
      <c r="OK54" s="12"/>
      <c r="OL54" s="12"/>
      <c r="OM54" s="12"/>
      <c r="ON54" s="12"/>
      <c r="OO54" s="12"/>
      <c r="OP54" s="12"/>
      <c r="OQ54" s="12"/>
      <c r="OR54" s="12"/>
      <c r="OS54" s="12"/>
      <c r="OT54" s="12"/>
      <c r="OU54" s="12"/>
      <c r="OV54" s="12"/>
      <c r="OW54" s="12"/>
      <c r="OX54" s="12"/>
      <c r="OY54" s="12"/>
      <c r="OZ54" s="12"/>
      <c r="PA54" s="12"/>
      <c r="PB54" s="12"/>
      <c r="PC54" s="12"/>
      <c r="PD54" s="12"/>
      <c r="PE54" s="12"/>
      <c r="PF54" s="12"/>
      <c r="PG54" s="12"/>
      <c r="PH54" s="12"/>
      <c r="PI54" s="12"/>
      <c r="PJ54" s="12"/>
      <c r="PK54" s="12"/>
      <c r="PL54" s="12"/>
      <c r="PM54" s="12"/>
      <c r="PN54" s="12"/>
      <c r="PO54" s="12"/>
      <c r="PP54" s="12"/>
      <c r="PQ54" s="12"/>
      <c r="PR54" s="12"/>
      <c r="PS54" s="12"/>
      <c r="PT54" s="12"/>
      <c r="PU54" s="12"/>
      <c r="PV54" s="12"/>
      <c r="PW54" s="12"/>
      <c r="PX54" s="12"/>
      <c r="PY54" s="12"/>
      <c r="PZ54" s="12"/>
      <c r="QA54" s="12"/>
      <c r="QB54" s="12"/>
      <c r="QC54" s="12"/>
      <c r="QD54" s="12"/>
      <c r="QE54" s="12"/>
      <c r="QF54" s="12"/>
      <c r="QG54" s="12"/>
      <c r="QH54" s="12"/>
      <c r="QI54" s="12"/>
      <c r="QJ54" s="12"/>
      <c r="QK54" s="12"/>
      <c r="QL54" s="12"/>
      <c r="QM54" s="12"/>
      <c r="QN54" s="12"/>
      <c r="QO54" s="12"/>
      <c r="QP54" s="12"/>
      <c r="QQ54" s="12"/>
      <c r="QR54" s="12"/>
      <c r="QS54" s="12"/>
      <c r="QT54" s="12"/>
      <c r="QU54" s="12"/>
      <c r="QV54" s="12"/>
      <c r="QW54" s="12"/>
      <c r="QX54" s="12"/>
      <c r="QY54" s="12"/>
      <c r="QZ54" s="12"/>
      <c r="RA54" s="12"/>
      <c r="RB54" s="12"/>
      <c r="RC54" s="12"/>
      <c r="RD54" s="12"/>
      <c r="RE54" s="12"/>
      <c r="RF54" s="12"/>
      <c r="RG54" s="12"/>
      <c r="RH54" s="12"/>
      <c r="RI54" s="12"/>
      <c r="RJ54" s="12"/>
      <c r="RK54" s="12"/>
      <c r="RL54" s="12"/>
      <c r="RM54" s="12"/>
      <c r="RN54" s="12"/>
      <c r="RO54" s="12"/>
      <c r="RP54" s="12"/>
      <c r="RQ54" s="12"/>
      <c r="RR54" s="12"/>
      <c r="RS54" s="12"/>
      <c r="RT54" s="12"/>
      <c r="RU54" s="12"/>
      <c r="RV54" s="12"/>
      <c r="RW54" s="12"/>
      <c r="RX54" s="12"/>
      <c r="RY54" s="12"/>
      <c r="RZ54" s="12"/>
      <c r="SA54" s="12"/>
      <c r="SB54" s="12"/>
      <c r="SC54" s="12"/>
      <c r="SD54" s="12"/>
      <c r="SE54" s="12"/>
      <c r="SF54" s="12"/>
      <c r="SG54" s="12"/>
      <c r="SH54" s="12"/>
      <c r="SI54" s="12"/>
      <c r="SJ54" s="12"/>
      <c r="SK54" s="12"/>
      <c r="SL54" s="12"/>
      <c r="SM54" s="12"/>
      <c r="SN54" s="12"/>
      <c r="SO54" s="12"/>
      <c r="SP54" s="12"/>
      <c r="SQ54" s="12"/>
      <c r="SR54" s="12"/>
      <c r="SS54" s="12"/>
      <c r="ST54" s="12"/>
      <c r="SU54" s="12"/>
      <c r="SV54" s="12"/>
      <c r="SW54" s="12"/>
      <c r="SX54" s="12"/>
      <c r="SY54" s="12"/>
      <c r="SZ54" s="12"/>
      <c r="TA54" s="12"/>
      <c r="TB54" s="12"/>
      <c r="TC54" s="12"/>
    </row>
    <row r="55" spans="1:523" s="383" customFormat="1" ht="13.5">
      <c r="A55" s="6">
        <v>204</v>
      </c>
      <c r="B55" s="29" t="s">
        <v>1</v>
      </c>
      <c r="C55" s="51" t="s">
        <v>69</v>
      </c>
      <c r="D55" s="12"/>
      <c r="E55" s="26">
        <v>2001</v>
      </c>
      <c r="F55" s="290" t="s">
        <v>331</v>
      </c>
      <c r="G55" s="192"/>
      <c r="H55" s="39">
        <v>350</v>
      </c>
      <c r="I55" s="182">
        <v>2</v>
      </c>
      <c r="J55" s="12"/>
      <c r="K55" s="12"/>
      <c r="L55" s="18" t="b">
        <f>IF($A55/4&lt;=1,8,IF($A55/4&lt;=2,1,IF($A55/4&lt;=3,7,IF($A55/4&lt;=4,2,IF($A55/4&lt;=5,6,IF($A55/4&lt;=6,3,IF($A55/4&lt;=7,5,IF($A55/4&lt;=8,4,IF($A55/4&lt;=9,8,IF($A55/4&lt;=10,1,IF($A55/4&lt;=11,7,IF($A55/4&lt;=12,2,IF($A55/4&lt;=13,6,IF($A55/4&lt;=14,3,IF($A55/4&lt;=15,5,IF($A55/4&lt;=16,4,IF($A55/4&lt;=17,8,IF($A55/4&lt;=18,1,IF($A55/4&lt;=19,7,IF($A55/4&lt;=20,2,IF($A55/4&lt;=21,6,IF($A55/4&lt;=22,3,IF($A55/4&lt;=23,5,IF($A55/4&lt;=24,4,IF($A55/4&lt;=25,8,IF($A55/4&lt;=26,1,IF($A55/4&lt;=27,7,IF($A55/4&lt;=28,2,IF($A55/4&lt;=29,6,IF($A55/4&lt;=30,3,IF($A55/4&lt;=31,5,IF($A55/4&lt;=32,4,IF($A55/4&lt;=33,8,IF($A55/4&lt;=34,1,IF($A55/4&lt;=35,7,IF($A55/4&lt;=36,2,IF($A55/4&lt;=37,6,IF($A55/4&lt;=38,3,IF($A55/4&lt;=39,5,IF($A55/4&lt;=40,4))))))))))))))))))))))))))))))))))))))))</f>
        <v>0</v>
      </c>
      <c r="M55" s="383">
        <f>L55+200</f>
        <v>200</v>
      </c>
      <c r="N55" s="12"/>
      <c r="O55" s="18" t="b">
        <f>IF($A55/4&lt;=1,4,IF($A55/4&lt;=2,1,IF($A55/4&lt;=3,3,IF($A55/4&lt;=4,2,IF($A55/4&lt;=5,4,IF($A55/4&lt;=6,1,IF($A55/4&lt;=7,3,IF($A55/4&lt;=8,2,IF($A55/4&lt;=9,4,IF($A55/4&lt;=10,1,IF($A55/4&lt;=11,3,IF($A55/4&lt;=12,2,IF($A55/4&lt;=13,4,IF($A55/4&lt;=14,1,IF($A55/4&lt;=15,3,IF($A55/4&lt;=16,2,IF($A55/4&lt;=17,4,IF($A55/4&lt;=18,1,IF($A55/4&lt;=19,3,IF($A55/4&lt;=20,2,IF($A55/4&lt;=21,4,IF($A55/4&lt;=22,1,IF($A55/4&lt;=23,3,IF($A55/4&lt;=24,2,IF($A55/4&lt;=25,4,IF($A55/4&lt;=26,1,IF($A55/4&lt;=27,3,IF($A55/4&lt;=28,2,IF($A55/4&lt;=29,4,IF($A55/4&lt;=30,1,IF($A55/4&lt;=31,3,IF($A55/4&lt;=32,2,IF($A55/4&lt;=33,4,IF($A55/4&lt;=34,1,IF($A55/4&lt;=35,3,IF($A55/4&lt;=36,2))))))))))))))))))))))))))))))))))))</f>
        <v>0</v>
      </c>
      <c r="P55" s="383" t="e">
        <f>P45+10</f>
        <v>#VALUE!</v>
      </c>
      <c r="Q55" s="12"/>
      <c r="R55" s="18" t="b">
        <f>IF($A55/4&lt;=1,6,IF($A55/4&lt;=2,1,IF($A55/4&lt;=3,5,IF($A55/4&lt;=4,2,IF($A55/4&lt;=5,4,IF($A55/4&lt;=6,3,IF($A55/4&lt;=7,6,IF($A55/4&lt;=8,1,IF($A55/4&lt;=9,5,IF($A55/4&lt;=10,2,IF($A55/4&lt;=11,4,IF($A55/4&lt;=12,3,IF($A55/4&lt;=13,6,IF($A55/4&lt;=14,1,IF($A55/4&lt;=15,5,IF($A55/4&lt;=16,2,IF($A55/4&lt;=17,4,IF($A55/4&lt;=18,3,IF($A55/4&lt;=19,6,IF($A55/4&lt;=20,1,IF($A55/4&lt;=21,5,IF($A55/4&lt;=22,2,IF($A55/4&lt;=23,4,IF($A55/4&lt;=24,3,IF($A55/4&lt;=25,6,IF($A55/4&lt;=26,1,IF($A55/4&lt;=27,5,IF($A55/4&lt;=28,2,IF($A55/4&lt;=29,4,IF($A55/4&lt;=30,3,IF($A55/4&lt;=31,6,IF($A55/4&lt;=32,1,IF($A55/4&lt;=33,5,IF($A55/4&lt;=34,2,IF($A55/4&lt;=35,4,IF($A55/4&lt;=36,3))))))))))))))))))))))))))))))))))))</f>
        <v>0</v>
      </c>
      <c r="S55" s="12">
        <f>S38+10</f>
        <v>10</v>
      </c>
      <c r="T55" s="12"/>
      <c r="U55" s="50">
        <f t="shared" si="9"/>
        <v>4</v>
      </c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  <c r="DW55" s="12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12"/>
      <c r="EI55" s="12"/>
      <c r="EJ55" s="12"/>
      <c r="EK55" s="12"/>
      <c r="EL55" s="12"/>
      <c r="EM55" s="12"/>
      <c r="EN55" s="12"/>
      <c r="EO55" s="12"/>
      <c r="EP55" s="12"/>
      <c r="EQ55" s="12"/>
      <c r="ER55" s="12"/>
      <c r="ES55" s="12"/>
      <c r="ET55" s="12"/>
      <c r="EU55" s="12"/>
      <c r="EV55" s="12"/>
      <c r="EW55" s="12"/>
      <c r="EX55" s="12"/>
      <c r="EY55" s="12"/>
      <c r="EZ55" s="12"/>
      <c r="FA55" s="12"/>
      <c r="FB55" s="12"/>
      <c r="FC55" s="12"/>
      <c r="FD55" s="12"/>
      <c r="FE55" s="12"/>
      <c r="FF55" s="12"/>
      <c r="FG55" s="12"/>
      <c r="FH55" s="12"/>
      <c r="FI55" s="12"/>
      <c r="FJ55" s="12"/>
      <c r="FK55" s="12"/>
      <c r="FL55" s="12"/>
      <c r="FM55" s="12"/>
      <c r="FN55" s="12"/>
      <c r="FO55" s="12"/>
      <c r="FP55" s="12"/>
      <c r="FQ55" s="12"/>
      <c r="FR55" s="12"/>
      <c r="FS55" s="12"/>
      <c r="FT55" s="12"/>
      <c r="FU55" s="12"/>
      <c r="FV55" s="12"/>
      <c r="FW55" s="12"/>
      <c r="FX55" s="12"/>
      <c r="FY55" s="12"/>
      <c r="FZ55" s="12"/>
      <c r="GA55" s="12"/>
      <c r="GB55" s="12"/>
      <c r="GC55" s="12"/>
      <c r="GD55" s="12"/>
      <c r="GE55" s="12"/>
      <c r="GF55" s="12"/>
      <c r="GG55" s="12"/>
      <c r="GH55" s="12"/>
      <c r="GI55" s="12"/>
      <c r="GJ55" s="12"/>
      <c r="GK55" s="12"/>
      <c r="GL55" s="12"/>
      <c r="GM55" s="12"/>
      <c r="GN55" s="12"/>
      <c r="GO55" s="12"/>
      <c r="GP55" s="12"/>
      <c r="GQ55" s="12"/>
      <c r="GR55" s="12"/>
      <c r="GS55" s="12"/>
      <c r="GT55" s="12"/>
      <c r="GU55" s="12"/>
      <c r="GV55" s="12"/>
      <c r="GW55" s="12"/>
      <c r="GX55" s="12"/>
      <c r="GY55" s="12"/>
      <c r="GZ55" s="12"/>
      <c r="HA55" s="12"/>
      <c r="HB55" s="12"/>
      <c r="HC55" s="12"/>
      <c r="HD55" s="12"/>
      <c r="HE55" s="12"/>
      <c r="HF55" s="12"/>
      <c r="HG55" s="12"/>
      <c r="HH55" s="12"/>
      <c r="HI55" s="12"/>
      <c r="HJ55" s="12"/>
      <c r="HK55" s="12"/>
      <c r="HL55" s="12"/>
      <c r="HM55" s="12"/>
      <c r="HN55" s="12"/>
      <c r="HO55" s="12"/>
      <c r="HP55" s="12"/>
      <c r="HQ55" s="12"/>
      <c r="HR55" s="12"/>
      <c r="HS55" s="12"/>
      <c r="HT55" s="12"/>
      <c r="HU55" s="12"/>
      <c r="HV55" s="12"/>
      <c r="HW55" s="12"/>
      <c r="HX55" s="12"/>
      <c r="HY55" s="12"/>
      <c r="HZ55" s="12"/>
      <c r="IA55" s="12"/>
      <c r="IB55" s="12"/>
      <c r="IC55" s="12"/>
      <c r="ID55" s="12"/>
      <c r="IE55" s="12"/>
      <c r="IF55" s="12"/>
      <c r="IG55" s="12"/>
      <c r="IH55" s="12"/>
      <c r="II55" s="12"/>
      <c r="IJ55" s="12"/>
      <c r="IK55" s="12"/>
      <c r="IL55" s="12"/>
      <c r="IM55" s="12"/>
      <c r="IN55" s="12"/>
      <c r="IO55" s="12"/>
      <c r="IP55" s="12"/>
      <c r="IQ55" s="12"/>
      <c r="IR55" s="12"/>
      <c r="IS55" s="12"/>
      <c r="IT55" s="12"/>
      <c r="IU55" s="12"/>
      <c r="IV55" s="12"/>
      <c r="IW55" s="12"/>
      <c r="IX55" s="12"/>
      <c r="IY55" s="12"/>
      <c r="IZ55" s="12"/>
      <c r="JA55" s="12"/>
      <c r="JB55" s="12"/>
      <c r="JC55" s="12"/>
      <c r="JD55" s="12"/>
      <c r="JE55" s="12"/>
      <c r="JF55" s="12"/>
      <c r="JG55" s="12"/>
      <c r="JH55" s="12"/>
      <c r="JI55" s="12"/>
      <c r="JJ55" s="12"/>
      <c r="JK55" s="12"/>
      <c r="JL55" s="12"/>
      <c r="JM55" s="12"/>
      <c r="JN55" s="12"/>
      <c r="JO55" s="12"/>
      <c r="JP55" s="12"/>
      <c r="JQ55" s="12"/>
      <c r="JR55" s="12"/>
      <c r="JS55" s="12"/>
      <c r="JT55" s="12"/>
      <c r="JU55" s="12"/>
      <c r="JV55" s="12"/>
      <c r="JW55" s="12"/>
      <c r="JX55" s="12"/>
      <c r="JY55" s="12"/>
      <c r="JZ55" s="12"/>
      <c r="KA55" s="12"/>
      <c r="KB55" s="12"/>
      <c r="KC55" s="12"/>
      <c r="KD55" s="12"/>
      <c r="KE55" s="12"/>
      <c r="KF55" s="12"/>
      <c r="KG55" s="12"/>
      <c r="KH55" s="12"/>
      <c r="KI55" s="12"/>
      <c r="KJ55" s="12"/>
      <c r="KK55" s="12"/>
      <c r="KL55" s="12"/>
      <c r="KM55" s="12"/>
      <c r="KN55" s="12"/>
      <c r="KO55" s="12"/>
      <c r="KP55" s="12"/>
      <c r="KQ55" s="12"/>
      <c r="KR55" s="12"/>
      <c r="KS55" s="12"/>
      <c r="KT55" s="12"/>
      <c r="KU55" s="12"/>
      <c r="KV55" s="12"/>
      <c r="KW55" s="12"/>
      <c r="KX55" s="12"/>
      <c r="KY55" s="12"/>
      <c r="KZ55" s="12"/>
      <c r="LA55" s="12"/>
      <c r="LB55" s="12"/>
      <c r="LC55" s="12"/>
      <c r="LD55" s="12"/>
      <c r="LE55" s="12"/>
      <c r="LF55" s="12"/>
      <c r="LG55" s="12"/>
      <c r="LH55" s="12"/>
      <c r="LI55" s="12"/>
      <c r="LJ55" s="12"/>
      <c r="LK55" s="12"/>
      <c r="LL55" s="12"/>
      <c r="LM55" s="12"/>
      <c r="LN55" s="12"/>
      <c r="LO55" s="12"/>
      <c r="LP55" s="12"/>
      <c r="LQ55" s="12"/>
      <c r="LR55" s="12"/>
      <c r="LS55" s="12"/>
      <c r="LT55" s="12"/>
      <c r="LU55" s="12"/>
      <c r="LV55" s="12"/>
      <c r="LW55" s="12"/>
      <c r="LX55" s="12"/>
      <c r="LY55" s="12"/>
      <c r="LZ55" s="12"/>
      <c r="MA55" s="12"/>
      <c r="MB55" s="12"/>
      <c r="MC55" s="12"/>
      <c r="MD55" s="12"/>
      <c r="ME55" s="12"/>
      <c r="MF55" s="12"/>
      <c r="MG55" s="12"/>
      <c r="MH55" s="12"/>
      <c r="MI55" s="12"/>
      <c r="MJ55" s="12"/>
      <c r="MK55" s="12"/>
      <c r="ML55" s="12"/>
      <c r="MM55" s="12"/>
      <c r="MN55" s="12"/>
      <c r="MO55" s="12"/>
      <c r="MP55" s="12"/>
      <c r="MQ55" s="12"/>
      <c r="MR55" s="12"/>
      <c r="MS55" s="12"/>
      <c r="MT55" s="12"/>
      <c r="MU55" s="12"/>
      <c r="MV55" s="12"/>
      <c r="MW55" s="12"/>
      <c r="MX55" s="12"/>
      <c r="MY55" s="12"/>
      <c r="MZ55" s="12"/>
      <c r="NA55" s="12"/>
      <c r="NB55" s="12"/>
      <c r="NC55" s="12"/>
      <c r="ND55" s="12"/>
      <c r="NE55" s="12"/>
      <c r="NF55" s="12"/>
      <c r="NG55" s="12"/>
      <c r="NH55" s="12"/>
      <c r="NI55" s="12"/>
      <c r="NJ55" s="12"/>
      <c r="NK55" s="12"/>
      <c r="NL55" s="12"/>
      <c r="NM55" s="12"/>
      <c r="NN55" s="12"/>
      <c r="NO55" s="12"/>
      <c r="NP55" s="12"/>
      <c r="NQ55" s="12"/>
      <c r="NR55" s="12"/>
      <c r="NS55" s="12"/>
      <c r="NT55" s="12"/>
      <c r="NU55" s="12"/>
      <c r="NV55" s="12"/>
      <c r="NW55" s="12"/>
      <c r="NX55" s="12"/>
      <c r="NY55" s="12"/>
      <c r="NZ55" s="12"/>
      <c r="OA55" s="12"/>
      <c r="OB55" s="12"/>
      <c r="OC55" s="12"/>
      <c r="OD55" s="12"/>
      <c r="OE55" s="12"/>
      <c r="OF55" s="12"/>
      <c r="OG55" s="12"/>
      <c r="OH55" s="12"/>
      <c r="OI55" s="12"/>
      <c r="OJ55" s="12"/>
      <c r="OK55" s="12"/>
      <c r="OL55" s="12"/>
      <c r="OM55" s="12"/>
      <c r="ON55" s="12"/>
      <c r="OO55" s="12"/>
      <c r="OP55" s="12"/>
      <c r="OQ55" s="12"/>
      <c r="OR55" s="12"/>
      <c r="OS55" s="12"/>
      <c r="OT55" s="12"/>
      <c r="OU55" s="12"/>
      <c r="OV55" s="12"/>
      <c r="OW55" s="12"/>
      <c r="OX55" s="12"/>
      <c r="OY55" s="12"/>
      <c r="OZ55" s="12"/>
      <c r="PA55" s="12"/>
      <c r="PB55" s="12"/>
      <c r="PC55" s="12"/>
      <c r="PD55" s="12"/>
      <c r="PE55" s="12"/>
      <c r="PF55" s="12"/>
      <c r="PG55" s="12"/>
      <c r="PH55" s="12"/>
      <c r="PI55" s="12"/>
      <c r="PJ55" s="12"/>
      <c r="PK55" s="12"/>
      <c r="PL55" s="12"/>
      <c r="PM55" s="12"/>
      <c r="PN55" s="12"/>
      <c r="PO55" s="12"/>
      <c r="PP55" s="12"/>
      <c r="PQ55" s="12"/>
      <c r="PR55" s="12"/>
      <c r="PS55" s="12"/>
      <c r="PT55" s="12"/>
      <c r="PU55" s="12"/>
      <c r="PV55" s="12"/>
      <c r="PW55" s="12"/>
      <c r="PX55" s="12"/>
      <c r="PY55" s="12"/>
      <c r="PZ55" s="12"/>
      <c r="QA55" s="12"/>
      <c r="QB55" s="12"/>
      <c r="QC55" s="12"/>
      <c r="QD55" s="12"/>
      <c r="QE55" s="12"/>
      <c r="QF55" s="12"/>
      <c r="QG55" s="12"/>
      <c r="QH55" s="12"/>
      <c r="QI55" s="12"/>
      <c r="QJ55" s="12"/>
      <c r="QK55" s="12"/>
      <c r="QL55" s="12"/>
      <c r="QM55" s="12"/>
      <c r="QN55" s="12"/>
      <c r="QO55" s="12"/>
      <c r="QP55" s="12"/>
      <c r="QQ55" s="12"/>
      <c r="QR55" s="12"/>
      <c r="QS55" s="12"/>
      <c r="QT55" s="12"/>
      <c r="QU55" s="12"/>
      <c r="QV55" s="12"/>
      <c r="QW55" s="12"/>
      <c r="QX55" s="12"/>
      <c r="QY55" s="12"/>
      <c r="QZ55" s="12"/>
      <c r="RA55" s="12"/>
      <c r="RB55" s="12"/>
      <c r="RC55" s="12"/>
      <c r="RD55" s="12"/>
      <c r="RE55" s="12"/>
      <c r="RF55" s="12"/>
      <c r="RG55" s="12"/>
      <c r="RH55" s="12"/>
      <c r="RI55" s="12"/>
      <c r="RJ55" s="12"/>
      <c r="RK55" s="12"/>
      <c r="RL55" s="12"/>
      <c r="RM55" s="12"/>
      <c r="RN55" s="12"/>
      <c r="RO55" s="12"/>
      <c r="RP55" s="12"/>
      <c r="RQ55" s="12"/>
      <c r="RR55" s="12"/>
      <c r="RS55" s="12"/>
      <c r="RT55" s="12"/>
      <c r="RU55" s="12"/>
      <c r="RV55" s="12"/>
      <c r="RW55" s="12"/>
      <c r="RX55" s="12"/>
      <c r="RY55" s="12"/>
      <c r="RZ55" s="12"/>
      <c r="SA55" s="12"/>
      <c r="SB55" s="12"/>
      <c r="SC55" s="12"/>
      <c r="SD55" s="12"/>
      <c r="SE55" s="12"/>
      <c r="SF55" s="12"/>
      <c r="SG55" s="12"/>
      <c r="SH55" s="12"/>
      <c r="SI55" s="12"/>
      <c r="SJ55" s="12"/>
      <c r="SK55" s="12"/>
      <c r="SL55" s="12"/>
      <c r="SM55" s="12"/>
      <c r="SN55" s="12"/>
      <c r="SO55" s="12"/>
      <c r="SP55" s="12"/>
      <c r="SQ55" s="12"/>
      <c r="SR55" s="12"/>
      <c r="SS55" s="12"/>
      <c r="ST55" s="12"/>
      <c r="SU55" s="12"/>
      <c r="SV55" s="12"/>
      <c r="SW55" s="12"/>
      <c r="SX55" s="12"/>
      <c r="SY55" s="12"/>
      <c r="SZ55" s="12"/>
      <c r="TA55" s="12"/>
      <c r="TB55" s="12"/>
      <c r="TC55" s="12"/>
    </row>
    <row r="56" spans="1:523" s="383" customFormat="1" ht="13.5">
      <c r="A56" s="6">
        <v>204</v>
      </c>
      <c r="B56" s="29" t="s">
        <v>1</v>
      </c>
      <c r="C56" s="51" t="s">
        <v>70</v>
      </c>
      <c r="D56" s="12"/>
      <c r="E56" s="26">
        <v>2001</v>
      </c>
      <c r="F56" s="290" t="s">
        <v>331</v>
      </c>
      <c r="G56" s="192"/>
      <c r="H56" s="39">
        <v>350</v>
      </c>
      <c r="I56" s="182">
        <v>3</v>
      </c>
      <c r="J56" s="12"/>
      <c r="K56" s="12"/>
      <c r="L56" s="18" t="b">
        <f>IF($A56/4&lt;=1,8,IF($A56/4&lt;=2,1,IF($A56/4&lt;=3,7,IF($A56/4&lt;=4,2,IF($A56/4&lt;=5,6,IF($A56/4&lt;=6,3,IF($A56/4&lt;=7,5,IF($A56/4&lt;=8,4,IF($A56/4&lt;=9,8,IF($A56/4&lt;=10,1,IF($A56/4&lt;=11,7,IF($A56/4&lt;=12,2,IF($A56/4&lt;=13,6,IF($A56/4&lt;=14,3,IF($A56/4&lt;=15,5,IF($A56/4&lt;=16,4,IF($A56/4&lt;=17,8,IF($A56/4&lt;=18,1,IF($A56/4&lt;=19,7,IF($A56/4&lt;=20,2,IF($A56/4&lt;=21,6,IF($A56/4&lt;=22,3,IF($A56/4&lt;=23,5,IF($A56/4&lt;=24,4,IF($A56/4&lt;=25,8,IF($A56/4&lt;=26,1,IF($A56/4&lt;=27,7,IF($A56/4&lt;=28,2,IF($A56/4&lt;=29,6,IF($A56/4&lt;=30,3,IF($A56/4&lt;=31,5,IF($A56/4&lt;=32,4,IF($A56/4&lt;=33,8,IF($A56/4&lt;=34,1,IF($A56/4&lt;=35,7,IF($A56/4&lt;=36,2,IF($A56/4&lt;=37,6,IF($A56/4&lt;=38,3,IF($A56/4&lt;=39,5,IF($A56/4&lt;=40,4))))))))))))))))))))))))))))))))))))))))</f>
        <v>0</v>
      </c>
      <c r="M56" s="383">
        <f>L56+200</f>
        <v>200</v>
      </c>
      <c r="N56" s="12"/>
      <c r="O56" s="18" t="b">
        <f>IF($A56/4&lt;=1,4,IF($A56/4&lt;=2,1,IF($A56/4&lt;=3,3,IF($A56/4&lt;=4,2,IF($A56/4&lt;=5,4,IF($A56/4&lt;=6,1,IF($A56/4&lt;=7,3,IF($A56/4&lt;=8,2,IF($A56/4&lt;=9,4,IF($A56/4&lt;=10,1,IF($A56/4&lt;=11,3,IF($A56/4&lt;=12,2,IF($A56/4&lt;=13,4,IF($A56/4&lt;=14,1,IF($A56/4&lt;=15,3,IF($A56/4&lt;=16,2,IF($A56/4&lt;=17,4,IF($A56/4&lt;=18,1,IF($A56/4&lt;=19,3,IF($A56/4&lt;=20,2,IF($A56/4&lt;=21,4,IF($A56/4&lt;=22,1,IF($A56/4&lt;=23,3,IF($A56/4&lt;=24,2,IF($A56/4&lt;=25,4,IF($A56/4&lt;=26,1,IF($A56/4&lt;=27,3,IF($A56/4&lt;=28,2,IF($A56/4&lt;=29,4,IF($A56/4&lt;=30,1,IF($A56/4&lt;=31,3,IF($A56/4&lt;=32,2,IF($A56/4&lt;=33,4,IF($A56/4&lt;=34,1,IF($A56/4&lt;=35,3,IF($A56/4&lt;=36,2))))))))))))))))))))))))))))))))))))</f>
        <v>0</v>
      </c>
      <c r="P56" s="383">
        <f>P47+10</f>
        <v>10</v>
      </c>
      <c r="Q56" s="12"/>
      <c r="R56" s="18" t="b">
        <f>IF($A56/4&lt;=1,6,IF($A56/4&lt;=2,1,IF($A56/4&lt;=3,5,IF($A56/4&lt;=4,2,IF($A56/4&lt;=5,4,IF($A56/4&lt;=6,3,IF($A56/4&lt;=7,6,IF($A56/4&lt;=8,1,IF($A56/4&lt;=9,5,IF($A56/4&lt;=10,2,IF($A56/4&lt;=11,4,IF($A56/4&lt;=12,3,IF($A56/4&lt;=13,6,IF($A56/4&lt;=14,1,IF($A56/4&lt;=15,5,IF($A56/4&lt;=16,2,IF($A56/4&lt;=17,4,IF($A56/4&lt;=18,3,IF($A56/4&lt;=19,6,IF($A56/4&lt;=20,1,IF($A56/4&lt;=21,5,IF($A56/4&lt;=22,2,IF($A56/4&lt;=23,4,IF($A56/4&lt;=24,3,IF($A56/4&lt;=25,6,IF($A56/4&lt;=26,1,IF($A56/4&lt;=27,5,IF($A56/4&lt;=28,2,IF($A56/4&lt;=29,4,IF($A56/4&lt;=30,3,IF($A56/4&lt;=31,6,IF($A56/4&lt;=32,1,IF($A56/4&lt;=33,5,IF($A56/4&lt;=34,2,IF($A56/4&lt;=35,4,IF($A56/4&lt;=36,3))))))))))))))))))))))))))))))))))))</f>
        <v>0</v>
      </c>
      <c r="S56" s="12">
        <f>S39+10</f>
        <v>10</v>
      </c>
      <c r="T56" s="12"/>
      <c r="U56" s="50">
        <f t="shared" si="9"/>
        <v>4</v>
      </c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2"/>
      <c r="EQ56" s="12"/>
      <c r="ER56" s="12"/>
      <c r="ES56" s="12"/>
      <c r="ET56" s="12"/>
      <c r="EU56" s="12"/>
      <c r="EV56" s="12"/>
      <c r="EW56" s="12"/>
      <c r="EX56" s="12"/>
      <c r="EY56" s="12"/>
      <c r="EZ56" s="12"/>
      <c r="FA56" s="12"/>
      <c r="FB56" s="12"/>
      <c r="FC56" s="12"/>
      <c r="FD56" s="12"/>
      <c r="FE56" s="12"/>
      <c r="FF56" s="12"/>
      <c r="FG56" s="12"/>
      <c r="FH56" s="12"/>
      <c r="FI56" s="12"/>
      <c r="FJ56" s="12"/>
      <c r="FK56" s="12"/>
      <c r="FL56" s="12"/>
      <c r="FM56" s="12"/>
      <c r="FN56" s="12"/>
      <c r="FO56" s="12"/>
      <c r="FP56" s="12"/>
      <c r="FQ56" s="12"/>
      <c r="FR56" s="12"/>
      <c r="FS56" s="12"/>
      <c r="FT56" s="12"/>
      <c r="FU56" s="12"/>
      <c r="FV56" s="12"/>
      <c r="FW56" s="12"/>
      <c r="FX56" s="12"/>
      <c r="FY56" s="12"/>
      <c r="FZ56" s="12"/>
      <c r="GA56" s="12"/>
      <c r="GB56" s="12"/>
      <c r="GC56" s="12"/>
      <c r="GD56" s="12"/>
      <c r="GE56" s="12"/>
      <c r="GF56" s="12"/>
      <c r="GG56" s="12"/>
      <c r="GH56" s="12"/>
      <c r="GI56" s="12"/>
      <c r="GJ56" s="12"/>
      <c r="GK56" s="12"/>
      <c r="GL56" s="12"/>
      <c r="GM56" s="12"/>
      <c r="GN56" s="12"/>
      <c r="GO56" s="12"/>
      <c r="GP56" s="12"/>
      <c r="GQ56" s="12"/>
      <c r="GR56" s="12"/>
      <c r="GS56" s="12"/>
      <c r="GT56" s="12"/>
      <c r="GU56" s="12"/>
      <c r="GV56" s="12"/>
      <c r="GW56" s="12"/>
      <c r="GX56" s="12"/>
      <c r="GY56" s="12"/>
      <c r="GZ56" s="12"/>
      <c r="HA56" s="12"/>
      <c r="HB56" s="12"/>
      <c r="HC56" s="12"/>
      <c r="HD56" s="12"/>
      <c r="HE56" s="12"/>
      <c r="HF56" s="12"/>
      <c r="HG56" s="12"/>
      <c r="HH56" s="12"/>
      <c r="HI56" s="12"/>
      <c r="HJ56" s="12"/>
      <c r="HK56" s="12"/>
      <c r="HL56" s="12"/>
      <c r="HM56" s="12"/>
      <c r="HN56" s="12"/>
      <c r="HO56" s="12"/>
      <c r="HP56" s="12"/>
      <c r="HQ56" s="12"/>
      <c r="HR56" s="12"/>
      <c r="HS56" s="12"/>
      <c r="HT56" s="12"/>
      <c r="HU56" s="12"/>
      <c r="HV56" s="12"/>
      <c r="HW56" s="12"/>
      <c r="HX56" s="12"/>
      <c r="HY56" s="12"/>
      <c r="HZ56" s="12"/>
      <c r="IA56" s="12"/>
      <c r="IB56" s="12"/>
      <c r="IC56" s="12"/>
      <c r="ID56" s="12"/>
      <c r="IE56" s="12"/>
      <c r="IF56" s="12"/>
      <c r="IG56" s="12"/>
      <c r="IH56" s="12"/>
      <c r="II56" s="12"/>
      <c r="IJ56" s="12"/>
      <c r="IK56" s="12"/>
      <c r="IL56" s="12"/>
      <c r="IM56" s="12"/>
      <c r="IN56" s="12"/>
      <c r="IO56" s="12"/>
      <c r="IP56" s="12"/>
      <c r="IQ56" s="12"/>
      <c r="IR56" s="12"/>
      <c r="IS56" s="12"/>
      <c r="IT56" s="12"/>
      <c r="IU56" s="12"/>
      <c r="IV56" s="12"/>
      <c r="IW56" s="12"/>
      <c r="IX56" s="12"/>
      <c r="IY56" s="12"/>
      <c r="IZ56" s="12"/>
      <c r="JA56" s="12"/>
      <c r="JB56" s="12"/>
      <c r="JC56" s="12"/>
      <c r="JD56" s="12"/>
      <c r="JE56" s="12"/>
      <c r="JF56" s="12"/>
      <c r="JG56" s="12"/>
      <c r="JH56" s="12"/>
      <c r="JI56" s="12"/>
      <c r="JJ56" s="12"/>
      <c r="JK56" s="12"/>
      <c r="JL56" s="12"/>
      <c r="JM56" s="12"/>
      <c r="JN56" s="12"/>
      <c r="JO56" s="12"/>
      <c r="JP56" s="12"/>
      <c r="JQ56" s="12"/>
      <c r="JR56" s="12"/>
      <c r="JS56" s="12"/>
      <c r="JT56" s="12"/>
      <c r="JU56" s="12"/>
      <c r="JV56" s="12"/>
      <c r="JW56" s="12"/>
      <c r="JX56" s="12"/>
      <c r="JY56" s="12"/>
      <c r="JZ56" s="12"/>
      <c r="KA56" s="12"/>
      <c r="KB56" s="12"/>
      <c r="KC56" s="12"/>
      <c r="KD56" s="12"/>
      <c r="KE56" s="12"/>
      <c r="KF56" s="12"/>
      <c r="KG56" s="12"/>
      <c r="KH56" s="12"/>
      <c r="KI56" s="12"/>
      <c r="KJ56" s="12"/>
      <c r="KK56" s="12"/>
      <c r="KL56" s="12"/>
      <c r="KM56" s="12"/>
      <c r="KN56" s="12"/>
      <c r="KO56" s="12"/>
      <c r="KP56" s="12"/>
      <c r="KQ56" s="12"/>
      <c r="KR56" s="12"/>
      <c r="KS56" s="12"/>
      <c r="KT56" s="12"/>
      <c r="KU56" s="12"/>
      <c r="KV56" s="12"/>
      <c r="KW56" s="12"/>
      <c r="KX56" s="12"/>
      <c r="KY56" s="12"/>
      <c r="KZ56" s="12"/>
      <c r="LA56" s="12"/>
      <c r="LB56" s="12"/>
      <c r="LC56" s="12"/>
      <c r="LD56" s="12"/>
      <c r="LE56" s="12"/>
      <c r="LF56" s="12"/>
      <c r="LG56" s="12"/>
      <c r="LH56" s="12"/>
      <c r="LI56" s="12"/>
      <c r="LJ56" s="12"/>
      <c r="LK56" s="12"/>
      <c r="LL56" s="12"/>
      <c r="LM56" s="12"/>
      <c r="LN56" s="12"/>
      <c r="LO56" s="12"/>
      <c r="LP56" s="12"/>
      <c r="LQ56" s="12"/>
      <c r="LR56" s="12"/>
      <c r="LS56" s="12"/>
      <c r="LT56" s="12"/>
      <c r="LU56" s="12"/>
      <c r="LV56" s="12"/>
      <c r="LW56" s="12"/>
      <c r="LX56" s="12"/>
      <c r="LY56" s="12"/>
      <c r="LZ56" s="12"/>
      <c r="MA56" s="12"/>
      <c r="MB56" s="12"/>
      <c r="MC56" s="12"/>
      <c r="MD56" s="12"/>
      <c r="ME56" s="12"/>
      <c r="MF56" s="12"/>
      <c r="MG56" s="12"/>
      <c r="MH56" s="12"/>
      <c r="MI56" s="12"/>
      <c r="MJ56" s="12"/>
      <c r="MK56" s="12"/>
      <c r="ML56" s="12"/>
      <c r="MM56" s="12"/>
      <c r="MN56" s="12"/>
      <c r="MO56" s="12"/>
      <c r="MP56" s="12"/>
      <c r="MQ56" s="12"/>
      <c r="MR56" s="12"/>
      <c r="MS56" s="12"/>
      <c r="MT56" s="12"/>
      <c r="MU56" s="12"/>
      <c r="MV56" s="12"/>
      <c r="MW56" s="12"/>
      <c r="MX56" s="12"/>
      <c r="MY56" s="12"/>
      <c r="MZ56" s="12"/>
      <c r="NA56" s="12"/>
      <c r="NB56" s="12"/>
      <c r="NC56" s="12"/>
      <c r="ND56" s="12"/>
      <c r="NE56" s="12"/>
      <c r="NF56" s="12"/>
      <c r="NG56" s="12"/>
      <c r="NH56" s="12"/>
      <c r="NI56" s="12"/>
      <c r="NJ56" s="12"/>
      <c r="NK56" s="12"/>
      <c r="NL56" s="12"/>
      <c r="NM56" s="12"/>
      <c r="NN56" s="12"/>
      <c r="NO56" s="12"/>
      <c r="NP56" s="12"/>
      <c r="NQ56" s="12"/>
      <c r="NR56" s="12"/>
      <c r="NS56" s="12"/>
      <c r="NT56" s="12"/>
      <c r="NU56" s="12"/>
      <c r="NV56" s="12"/>
      <c r="NW56" s="12"/>
      <c r="NX56" s="12"/>
      <c r="NY56" s="12"/>
      <c r="NZ56" s="12"/>
      <c r="OA56" s="12"/>
      <c r="OB56" s="12"/>
      <c r="OC56" s="12"/>
      <c r="OD56" s="12"/>
      <c r="OE56" s="12"/>
      <c r="OF56" s="12"/>
      <c r="OG56" s="12"/>
      <c r="OH56" s="12"/>
      <c r="OI56" s="12"/>
      <c r="OJ56" s="12"/>
      <c r="OK56" s="12"/>
      <c r="OL56" s="12"/>
      <c r="OM56" s="12"/>
      <c r="ON56" s="12"/>
      <c r="OO56" s="12"/>
      <c r="OP56" s="12"/>
      <c r="OQ56" s="12"/>
      <c r="OR56" s="12"/>
      <c r="OS56" s="12"/>
      <c r="OT56" s="12"/>
      <c r="OU56" s="12"/>
      <c r="OV56" s="12"/>
      <c r="OW56" s="12"/>
      <c r="OX56" s="12"/>
      <c r="OY56" s="12"/>
      <c r="OZ56" s="12"/>
      <c r="PA56" s="12"/>
      <c r="PB56" s="12"/>
      <c r="PC56" s="12"/>
      <c r="PD56" s="12"/>
      <c r="PE56" s="12"/>
      <c r="PF56" s="12"/>
      <c r="PG56" s="12"/>
      <c r="PH56" s="12"/>
      <c r="PI56" s="12"/>
      <c r="PJ56" s="12"/>
      <c r="PK56" s="12"/>
      <c r="PL56" s="12"/>
      <c r="PM56" s="12"/>
      <c r="PN56" s="12"/>
      <c r="PO56" s="12"/>
      <c r="PP56" s="12"/>
      <c r="PQ56" s="12"/>
      <c r="PR56" s="12"/>
      <c r="PS56" s="12"/>
      <c r="PT56" s="12"/>
      <c r="PU56" s="12"/>
      <c r="PV56" s="12"/>
      <c r="PW56" s="12"/>
      <c r="PX56" s="12"/>
      <c r="PY56" s="12"/>
      <c r="PZ56" s="12"/>
      <c r="QA56" s="12"/>
      <c r="QB56" s="12"/>
      <c r="QC56" s="12"/>
      <c r="QD56" s="12"/>
      <c r="QE56" s="12"/>
      <c r="QF56" s="12"/>
      <c r="QG56" s="12"/>
      <c r="QH56" s="12"/>
      <c r="QI56" s="12"/>
      <c r="QJ56" s="12"/>
      <c r="QK56" s="12"/>
      <c r="QL56" s="12"/>
      <c r="QM56" s="12"/>
      <c r="QN56" s="12"/>
      <c r="QO56" s="12"/>
      <c r="QP56" s="12"/>
      <c r="QQ56" s="12"/>
      <c r="QR56" s="12"/>
      <c r="QS56" s="12"/>
      <c r="QT56" s="12"/>
      <c r="QU56" s="12"/>
      <c r="QV56" s="12"/>
      <c r="QW56" s="12"/>
      <c r="QX56" s="12"/>
      <c r="QY56" s="12"/>
      <c r="QZ56" s="12"/>
      <c r="RA56" s="12"/>
      <c r="RB56" s="12"/>
      <c r="RC56" s="12"/>
      <c r="RD56" s="12"/>
      <c r="RE56" s="12"/>
      <c r="RF56" s="12"/>
      <c r="RG56" s="12"/>
      <c r="RH56" s="12"/>
      <c r="RI56" s="12"/>
      <c r="RJ56" s="12"/>
      <c r="RK56" s="12"/>
      <c r="RL56" s="12"/>
      <c r="RM56" s="12"/>
      <c r="RN56" s="12"/>
      <c r="RO56" s="12"/>
      <c r="RP56" s="12"/>
      <c r="RQ56" s="12"/>
      <c r="RR56" s="12"/>
      <c r="RS56" s="12"/>
      <c r="RT56" s="12"/>
      <c r="RU56" s="12"/>
      <c r="RV56" s="12"/>
      <c r="RW56" s="12"/>
      <c r="RX56" s="12"/>
      <c r="RY56" s="12"/>
      <c r="RZ56" s="12"/>
      <c r="SA56" s="12"/>
      <c r="SB56" s="12"/>
      <c r="SC56" s="12"/>
      <c r="SD56" s="12"/>
      <c r="SE56" s="12"/>
      <c r="SF56" s="12"/>
      <c r="SG56" s="12"/>
      <c r="SH56" s="12"/>
      <c r="SI56" s="12"/>
      <c r="SJ56" s="12"/>
      <c r="SK56" s="12"/>
      <c r="SL56" s="12"/>
      <c r="SM56" s="12"/>
      <c r="SN56" s="12"/>
      <c r="SO56" s="12"/>
      <c r="SP56" s="12"/>
      <c r="SQ56" s="12"/>
      <c r="SR56" s="12"/>
      <c r="SS56" s="12"/>
      <c r="ST56" s="12"/>
      <c r="SU56" s="12"/>
      <c r="SV56" s="12"/>
      <c r="SW56" s="12"/>
      <c r="SX56" s="12"/>
      <c r="SY56" s="12"/>
      <c r="SZ56" s="12"/>
      <c r="TA56" s="12"/>
      <c r="TB56" s="12"/>
      <c r="TC56" s="12"/>
    </row>
    <row r="57" spans="1:523" s="383" customFormat="1" ht="13.5">
      <c r="A57" s="6">
        <v>204</v>
      </c>
      <c r="B57" s="29" t="s">
        <v>13</v>
      </c>
      <c r="C57" s="51" t="s">
        <v>67</v>
      </c>
      <c r="D57" s="12"/>
      <c r="E57" s="26">
        <v>2001</v>
      </c>
      <c r="F57" s="290" t="s">
        <v>331</v>
      </c>
      <c r="G57" s="192"/>
      <c r="H57" s="39">
        <v>350</v>
      </c>
      <c r="I57" s="182">
        <v>4</v>
      </c>
      <c r="J57" s="12"/>
      <c r="K57" s="12"/>
      <c r="L57" s="18" t="b">
        <f>IF($A57/4&lt;=1,8,IF($A57/4&lt;=2,1,IF($A57/4&lt;=3,7,IF($A57/4&lt;=4,2,IF($A57/4&lt;=5,6,IF($A57/4&lt;=6,3,IF($A57/4&lt;=7,5,IF($A57/4&lt;=8,4,IF($A57/4&lt;=9,8,IF($A57/4&lt;=10,1,IF($A57/4&lt;=11,7,IF($A57/4&lt;=12,2,IF($A57/4&lt;=13,6,IF($A57/4&lt;=14,3,IF($A57/4&lt;=15,5,IF($A57/4&lt;=16,4,IF($A57/4&lt;=17,8,IF($A57/4&lt;=18,1,IF($A57/4&lt;=19,7,IF($A57/4&lt;=20,2,IF($A57/4&lt;=21,6,IF($A57/4&lt;=22,3,IF($A57/4&lt;=23,5,IF($A57/4&lt;=24,4,IF($A57/4&lt;=25,8,IF($A57/4&lt;=26,1,IF($A57/4&lt;=27,7,IF($A57/4&lt;=28,2,IF($A57/4&lt;=29,6,IF($A57/4&lt;=30,3,IF($A57/4&lt;=31,5,IF($A57/4&lt;=32,4,IF($A57/4&lt;=33,8,IF($A57/4&lt;=34,1,IF($A57/4&lt;=35,7,IF($A57/4&lt;=36,2,IF($A57/4&lt;=37,6,IF($A57/4&lt;=38,3,IF($A57/4&lt;=39,5,IF($A57/4&lt;=40,4))))))))))))))))))))))))))))))))))))))))</f>
        <v>0</v>
      </c>
      <c r="M57" s="383">
        <f>L57+200</f>
        <v>200</v>
      </c>
      <c r="N57" s="12"/>
      <c r="O57" s="18" t="b">
        <f>IF($A57/4&lt;=1,4,IF($A57/4&lt;=2,1,IF($A57/4&lt;=3,3,IF($A57/4&lt;=4,2,IF($A57/4&lt;=5,4,IF($A57/4&lt;=6,1,IF($A57/4&lt;=7,3,IF($A57/4&lt;=8,2,IF($A57/4&lt;=9,4,IF($A57/4&lt;=10,1,IF($A57/4&lt;=11,3,IF($A57/4&lt;=12,2,IF($A57/4&lt;=13,4,IF($A57/4&lt;=14,1,IF($A57/4&lt;=15,3,IF($A57/4&lt;=16,2,IF($A57/4&lt;=17,4,IF($A57/4&lt;=18,1,IF($A57/4&lt;=19,3,IF($A57/4&lt;=20,2,IF($A57/4&lt;=21,4,IF($A57/4&lt;=22,1,IF($A57/4&lt;=23,3,IF($A57/4&lt;=24,2,IF($A57/4&lt;=25,4,IF($A57/4&lt;=26,1,IF($A57/4&lt;=27,3,IF($A57/4&lt;=28,2,IF($A57/4&lt;=29,4,IF($A57/4&lt;=30,1,IF($A57/4&lt;=31,3,IF($A57/4&lt;=32,2,IF($A57/4&lt;=33,4,IF($A57/4&lt;=34,1,IF($A57/4&lt;=35,3,IF($A57/4&lt;=36,2))))))))))))))))))))))))))))))))))))</f>
        <v>0</v>
      </c>
      <c r="P57" s="383">
        <f>P46+10</f>
        <v>10</v>
      </c>
      <c r="Q57" s="12"/>
      <c r="R57" s="18" t="b">
        <f>IF($A57/4&lt;=1,6,IF($A57/4&lt;=2,1,IF($A57/4&lt;=3,5,IF($A57/4&lt;=4,2,IF($A57/4&lt;=5,4,IF($A57/4&lt;=6,3,IF($A57/4&lt;=7,6,IF($A57/4&lt;=8,1,IF($A57/4&lt;=9,5,IF($A57/4&lt;=10,2,IF($A57/4&lt;=11,4,IF($A57/4&lt;=12,3,IF($A57/4&lt;=13,6,IF($A57/4&lt;=14,1,IF($A57/4&lt;=15,5,IF($A57/4&lt;=16,2,IF($A57/4&lt;=17,4,IF($A57/4&lt;=18,3,IF($A57/4&lt;=19,6,IF($A57/4&lt;=20,1,IF($A57/4&lt;=21,5,IF($A57/4&lt;=22,2,IF($A57/4&lt;=23,4,IF($A57/4&lt;=24,3,IF($A57/4&lt;=25,6,IF($A57/4&lt;=26,1,IF($A57/4&lt;=27,5,IF($A57/4&lt;=28,2,IF($A57/4&lt;=29,4,IF($A57/4&lt;=30,3,IF($A57/4&lt;=31,6,IF($A57/4&lt;=32,1,IF($A57/4&lt;=33,5,IF($A57/4&lt;=34,2,IF($A57/4&lt;=35,4,IF($A57/4&lt;=36,3))))))))))))))))))))))))))))))))))))</f>
        <v>0</v>
      </c>
      <c r="S57" s="12">
        <f>S40+10</f>
        <v>10</v>
      </c>
      <c r="T57" s="12"/>
      <c r="U57" s="50">
        <f t="shared" si="9"/>
        <v>4</v>
      </c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  <c r="EA57" s="12"/>
      <c r="EB57" s="12"/>
      <c r="EC57" s="12"/>
      <c r="ED57" s="12"/>
      <c r="EE57" s="12"/>
      <c r="EF57" s="12"/>
      <c r="EG57" s="12"/>
      <c r="EH57" s="12"/>
      <c r="EI57" s="12"/>
      <c r="EJ57" s="12"/>
      <c r="EK57" s="12"/>
      <c r="EL57" s="12"/>
      <c r="EM57" s="12"/>
      <c r="EN57" s="12"/>
      <c r="EO57" s="12"/>
      <c r="EP57" s="12"/>
      <c r="EQ57" s="12"/>
      <c r="ER57" s="12"/>
      <c r="ES57" s="12"/>
      <c r="ET57" s="12"/>
      <c r="EU57" s="12"/>
      <c r="EV57" s="12"/>
      <c r="EW57" s="12"/>
      <c r="EX57" s="12"/>
      <c r="EY57" s="12"/>
      <c r="EZ57" s="12"/>
      <c r="FA57" s="12"/>
      <c r="FB57" s="12"/>
      <c r="FC57" s="12"/>
      <c r="FD57" s="12"/>
      <c r="FE57" s="12"/>
      <c r="FF57" s="12"/>
      <c r="FG57" s="12"/>
      <c r="FH57" s="12"/>
      <c r="FI57" s="12"/>
      <c r="FJ57" s="12"/>
      <c r="FK57" s="12"/>
      <c r="FL57" s="12"/>
      <c r="FM57" s="12"/>
      <c r="FN57" s="12"/>
      <c r="FO57" s="12"/>
      <c r="FP57" s="12"/>
      <c r="FQ57" s="12"/>
      <c r="FR57" s="12"/>
      <c r="FS57" s="12"/>
      <c r="FT57" s="12"/>
      <c r="FU57" s="12"/>
      <c r="FV57" s="12"/>
      <c r="FW57" s="12"/>
      <c r="FX57" s="12"/>
      <c r="FY57" s="12"/>
      <c r="FZ57" s="12"/>
      <c r="GA57" s="12"/>
      <c r="GB57" s="12"/>
      <c r="GC57" s="12"/>
      <c r="GD57" s="12"/>
      <c r="GE57" s="12"/>
      <c r="GF57" s="12"/>
      <c r="GG57" s="12"/>
      <c r="GH57" s="12"/>
      <c r="GI57" s="12"/>
      <c r="GJ57" s="12"/>
      <c r="GK57" s="12"/>
      <c r="GL57" s="12"/>
      <c r="GM57" s="12"/>
      <c r="GN57" s="12"/>
      <c r="GO57" s="12"/>
      <c r="GP57" s="12"/>
      <c r="GQ57" s="12"/>
      <c r="GR57" s="12"/>
      <c r="GS57" s="12"/>
      <c r="GT57" s="12"/>
      <c r="GU57" s="12"/>
      <c r="GV57" s="12"/>
      <c r="GW57" s="12"/>
      <c r="GX57" s="12"/>
      <c r="GY57" s="12"/>
      <c r="GZ57" s="12"/>
      <c r="HA57" s="12"/>
      <c r="HB57" s="12"/>
      <c r="HC57" s="12"/>
      <c r="HD57" s="12"/>
      <c r="HE57" s="12"/>
      <c r="HF57" s="12"/>
      <c r="HG57" s="12"/>
      <c r="HH57" s="12"/>
      <c r="HI57" s="12"/>
      <c r="HJ57" s="12"/>
      <c r="HK57" s="12"/>
      <c r="HL57" s="12"/>
      <c r="HM57" s="12"/>
      <c r="HN57" s="12"/>
      <c r="HO57" s="12"/>
      <c r="HP57" s="12"/>
      <c r="HQ57" s="12"/>
      <c r="HR57" s="12"/>
      <c r="HS57" s="12"/>
      <c r="HT57" s="12"/>
      <c r="HU57" s="12"/>
      <c r="HV57" s="12"/>
      <c r="HW57" s="12"/>
      <c r="HX57" s="12"/>
      <c r="HY57" s="12"/>
      <c r="HZ57" s="12"/>
      <c r="IA57" s="12"/>
      <c r="IB57" s="12"/>
      <c r="IC57" s="12"/>
      <c r="ID57" s="12"/>
      <c r="IE57" s="12"/>
      <c r="IF57" s="12"/>
      <c r="IG57" s="12"/>
      <c r="IH57" s="12"/>
      <c r="II57" s="12"/>
      <c r="IJ57" s="12"/>
      <c r="IK57" s="12"/>
      <c r="IL57" s="12"/>
      <c r="IM57" s="12"/>
      <c r="IN57" s="12"/>
      <c r="IO57" s="12"/>
      <c r="IP57" s="12"/>
      <c r="IQ57" s="12"/>
      <c r="IR57" s="12"/>
      <c r="IS57" s="12"/>
      <c r="IT57" s="12"/>
      <c r="IU57" s="12"/>
      <c r="IV57" s="12"/>
      <c r="IW57" s="12"/>
      <c r="IX57" s="12"/>
      <c r="IY57" s="12"/>
      <c r="IZ57" s="12"/>
      <c r="JA57" s="12"/>
      <c r="JB57" s="12"/>
      <c r="JC57" s="12"/>
      <c r="JD57" s="12"/>
      <c r="JE57" s="12"/>
      <c r="JF57" s="12"/>
      <c r="JG57" s="12"/>
      <c r="JH57" s="12"/>
      <c r="JI57" s="12"/>
      <c r="JJ57" s="12"/>
      <c r="JK57" s="12"/>
      <c r="JL57" s="12"/>
      <c r="JM57" s="12"/>
      <c r="JN57" s="12"/>
      <c r="JO57" s="12"/>
      <c r="JP57" s="12"/>
      <c r="JQ57" s="12"/>
      <c r="JR57" s="12"/>
      <c r="JS57" s="12"/>
      <c r="JT57" s="12"/>
      <c r="JU57" s="12"/>
      <c r="JV57" s="12"/>
      <c r="JW57" s="12"/>
      <c r="JX57" s="12"/>
      <c r="JY57" s="12"/>
      <c r="JZ57" s="12"/>
      <c r="KA57" s="12"/>
      <c r="KB57" s="12"/>
      <c r="KC57" s="12"/>
      <c r="KD57" s="12"/>
      <c r="KE57" s="12"/>
      <c r="KF57" s="12"/>
      <c r="KG57" s="12"/>
      <c r="KH57" s="12"/>
      <c r="KI57" s="12"/>
      <c r="KJ57" s="12"/>
      <c r="KK57" s="12"/>
      <c r="KL57" s="12"/>
      <c r="KM57" s="12"/>
      <c r="KN57" s="12"/>
      <c r="KO57" s="12"/>
      <c r="KP57" s="12"/>
      <c r="KQ57" s="12"/>
      <c r="KR57" s="12"/>
      <c r="KS57" s="12"/>
      <c r="KT57" s="12"/>
      <c r="KU57" s="12"/>
      <c r="KV57" s="12"/>
      <c r="KW57" s="12"/>
      <c r="KX57" s="12"/>
      <c r="KY57" s="12"/>
      <c r="KZ57" s="12"/>
      <c r="LA57" s="12"/>
      <c r="LB57" s="12"/>
      <c r="LC57" s="12"/>
      <c r="LD57" s="12"/>
      <c r="LE57" s="12"/>
      <c r="LF57" s="12"/>
      <c r="LG57" s="12"/>
      <c r="LH57" s="12"/>
      <c r="LI57" s="12"/>
      <c r="LJ57" s="12"/>
      <c r="LK57" s="12"/>
      <c r="LL57" s="12"/>
      <c r="LM57" s="12"/>
      <c r="LN57" s="12"/>
      <c r="LO57" s="12"/>
      <c r="LP57" s="12"/>
      <c r="LQ57" s="12"/>
      <c r="LR57" s="12"/>
      <c r="LS57" s="12"/>
      <c r="LT57" s="12"/>
      <c r="LU57" s="12"/>
      <c r="LV57" s="12"/>
      <c r="LW57" s="12"/>
      <c r="LX57" s="12"/>
      <c r="LY57" s="12"/>
      <c r="LZ57" s="12"/>
      <c r="MA57" s="12"/>
      <c r="MB57" s="12"/>
      <c r="MC57" s="12"/>
      <c r="MD57" s="12"/>
      <c r="ME57" s="12"/>
      <c r="MF57" s="12"/>
      <c r="MG57" s="12"/>
      <c r="MH57" s="12"/>
      <c r="MI57" s="12"/>
      <c r="MJ57" s="12"/>
      <c r="MK57" s="12"/>
      <c r="ML57" s="12"/>
      <c r="MM57" s="12"/>
      <c r="MN57" s="12"/>
      <c r="MO57" s="12"/>
      <c r="MP57" s="12"/>
      <c r="MQ57" s="12"/>
      <c r="MR57" s="12"/>
      <c r="MS57" s="12"/>
      <c r="MT57" s="12"/>
      <c r="MU57" s="12"/>
      <c r="MV57" s="12"/>
      <c r="MW57" s="12"/>
      <c r="MX57" s="12"/>
      <c r="MY57" s="12"/>
      <c r="MZ57" s="12"/>
      <c r="NA57" s="12"/>
      <c r="NB57" s="12"/>
      <c r="NC57" s="12"/>
      <c r="ND57" s="12"/>
      <c r="NE57" s="12"/>
      <c r="NF57" s="12"/>
      <c r="NG57" s="12"/>
      <c r="NH57" s="12"/>
      <c r="NI57" s="12"/>
      <c r="NJ57" s="12"/>
      <c r="NK57" s="12"/>
      <c r="NL57" s="12"/>
      <c r="NM57" s="12"/>
      <c r="NN57" s="12"/>
      <c r="NO57" s="12"/>
      <c r="NP57" s="12"/>
      <c r="NQ57" s="12"/>
      <c r="NR57" s="12"/>
      <c r="NS57" s="12"/>
      <c r="NT57" s="12"/>
      <c r="NU57" s="12"/>
      <c r="NV57" s="12"/>
      <c r="NW57" s="12"/>
      <c r="NX57" s="12"/>
      <c r="NY57" s="12"/>
      <c r="NZ57" s="12"/>
      <c r="OA57" s="12"/>
      <c r="OB57" s="12"/>
      <c r="OC57" s="12"/>
      <c r="OD57" s="12"/>
      <c r="OE57" s="12"/>
      <c r="OF57" s="12"/>
      <c r="OG57" s="12"/>
      <c r="OH57" s="12"/>
      <c r="OI57" s="12"/>
      <c r="OJ57" s="12"/>
      <c r="OK57" s="12"/>
      <c r="OL57" s="12"/>
      <c r="OM57" s="12"/>
      <c r="ON57" s="12"/>
      <c r="OO57" s="12"/>
      <c r="OP57" s="12"/>
      <c r="OQ57" s="12"/>
      <c r="OR57" s="12"/>
      <c r="OS57" s="12"/>
      <c r="OT57" s="12"/>
      <c r="OU57" s="12"/>
      <c r="OV57" s="12"/>
      <c r="OW57" s="12"/>
      <c r="OX57" s="12"/>
      <c r="OY57" s="12"/>
      <c r="OZ57" s="12"/>
      <c r="PA57" s="12"/>
      <c r="PB57" s="12"/>
      <c r="PC57" s="12"/>
      <c r="PD57" s="12"/>
      <c r="PE57" s="12"/>
      <c r="PF57" s="12"/>
      <c r="PG57" s="12"/>
      <c r="PH57" s="12"/>
      <c r="PI57" s="12"/>
      <c r="PJ57" s="12"/>
      <c r="PK57" s="12"/>
      <c r="PL57" s="12"/>
      <c r="PM57" s="12"/>
      <c r="PN57" s="12"/>
      <c r="PO57" s="12"/>
      <c r="PP57" s="12"/>
      <c r="PQ57" s="12"/>
      <c r="PR57" s="12"/>
      <c r="PS57" s="12"/>
      <c r="PT57" s="12"/>
      <c r="PU57" s="12"/>
      <c r="PV57" s="12"/>
      <c r="PW57" s="12"/>
      <c r="PX57" s="12"/>
      <c r="PY57" s="12"/>
      <c r="PZ57" s="12"/>
      <c r="QA57" s="12"/>
      <c r="QB57" s="12"/>
      <c r="QC57" s="12"/>
      <c r="QD57" s="12"/>
      <c r="QE57" s="12"/>
      <c r="QF57" s="12"/>
      <c r="QG57" s="12"/>
      <c r="QH57" s="12"/>
      <c r="QI57" s="12"/>
      <c r="QJ57" s="12"/>
      <c r="QK57" s="12"/>
      <c r="QL57" s="12"/>
      <c r="QM57" s="12"/>
      <c r="QN57" s="12"/>
      <c r="QO57" s="12"/>
      <c r="QP57" s="12"/>
      <c r="QQ57" s="12"/>
      <c r="QR57" s="12"/>
      <c r="QS57" s="12"/>
      <c r="QT57" s="12"/>
      <c r="QU57" s="12"/>
      <c r="QV57" s="12"/>
      <c r="QW57" s="12"/>
      <c r="QX57" s="12"/>
      <c r="QY57" s="12"/>
      <c r="QZ57" s="12"/>
      <c r="RA57" s="12"/>
      <c r="RB57" s="12"/>
      <c r="RC57" s="12"/>
      <c r="RD57" s="12"/>
      <c r="RE57" s="12"/>
      <c r="RF57" s="12"/>
      <c r="RG57" s="12"/>
      <c r="RH57" s="12"/>
      <c r="RI57" s="12"/>
      <c r="RJ57" s="12"/>
      <c r="RK57" s="12"/>
      <c r="RL57" s="12"/>
      <c r="RM57" s="12"/>
      <c r="RN57" s="12"/>
      <c r="RO57" s="12"/>
      <c r="RP57" s="12"/>
      <c r="RQ57" s="12"/>
      <c r="RR57" s="12"/>
      <c r="RS57" s="12"/>
      <c r="RT57" s="12"/>
      <c r="RU57" s="12"/>
      <c r="RV57" s="12"/>
      <c r="RW57" s="12"/>
      <c r="RX57" s="12"/>
      <c r="RY57" s="12"/>
      <c r="RZ57" s="12"/>
      <c r="SA57" s="12"/>
      <c r="SB57" s="12"/>
      <c r="SC57" s="12"/>
      <c r="SD57" s="12"/>
      <c r="SE57" s="12"/>
      <c r="SF57" s="12"/>
      <c r="SG57" s="12"/>
      <c r="SH57" s="12"/>
      <c r="SI57" s="12"/>
      <c r="SJ57" s="12"/>
      <c r="SK57" s="12"/>
      <c r="SL57" s="12"/>
      <c r="SM57" s="12"/>
      <c r="SN57" s="12"/>
      <c r="SO57" s="12"/>
      <c r="SP57" s="12"/>
      <c r="SQ57" s="12"/>
      <c r="SR57" s="12"/>
      <c r="SS57" s="12"/>
      <c r="ST57" s="12"/>
      <c r="SU57" s="12"/>
      <c r="SV57" s="12"/>
      <c r="SW57" s="12"/>
      <c r="SX57" s="12"/>
      <c r="SY57" s="12"/>
      <c r="SZ57" s="12"/>
      <c r="TA57" s="12"/>
      <c r="TB57" s="12"/>
      <c r="TC57" s="12"/>
    </row>
    <row r="58" spans="1:523" s="383" customFormat="1" ht="14.25">
      <c r="A58" s="403">
        <f>A59</f>
        <v>205</v>
      </c>
      <c r="C58" s="384"/>
      <c r="D58" s="27"/>
      <c r="F58" s="388" t="str">
        <f>F59</f>
        <v>Клуб 10</v>
      </c>
      <c r="H58" s="404">
        <f>H59</f>
        <v>402.35</v>
      </c>
      <c r="I58" s="129"/>
      <c r="L58" s="128"/>
      <c r="O58" s="128"/>
      <c r="R58" s="128"/>
      <c r="U58" s="50">
        <f t="shared" si="9"/>
        <v>5</v>
      </c>
      <c r="CI58" s="385"/>
      <c r="CW58" s="386"/>
      <c r="CX58" s="386"/>
      <c r="CY58" s="386"/>
    </row>
    <row r="59" spans="1:523" s="12" customFormat="1" ht="12" customHeight="1">
      <c r="A59" s="6">
        <v>205</v>
      </c>
      <c r="B59" s="29" t="s">
        <v>1</v>
      </c>
      <c r="C59" s="51" t="s">
        <v>65</v>
      </c>
      <c r="E59" s="29">
        <v>2001</v>
      </c>
      <c r="F59" s="23" t="s">
        <v>332</v>
      </c>
      <c r="G59" s="192"/>
      <c r="H59" s="39">
        <v>402.35</v>
      </c>
      <c r="I59" s="182">
        <v>1</v>
      </c>
      <c r="L59" s="18" t="b">
        <f>IF($A59/4&lt;=1,8,IF($A59/4&lt;=2,1,IF($A59/4&lt;=3,7,IF($A59/4&lt;=4,2,IF($A59/4&lt;=5,6,IF($A59/4&lt;=6,3,IF($A59/4&lt;=7,5,IF($A59/4&lt;=8,4,IF($A59/4&lt;=9,8,IF($A59/4&lt;=10,1,IF($A59/4&lt;=11,7,IF($A59/4&lt;=12,2,IF($A59/4&lt;=13,6,IF($A59/4&lt;=14,3,IF($A59/4&lt;=15,5,IF($A59/4&lt;=16,4,IF($A59/4&lt;=17,8,IF($A59/4&lt;=18,1,IF($A59/4&lt;=19,7,IF($A59/4&lt;=20,2,IF($A59/4&lt;=21,6,IF($A59/4&lt;=22,3,IF($A59/4&lt;=23,5,IF($A59/4&lt;=24,4,IF($A59/4&lt;=25,8,IF($A59/4&lt;=26,1,IF($A59/4&lt;=27,7,IF($A59/4&lt;=28,2,IF($A59/4&lt;=29,6,IF($A59/4&lt;=30,3,IF($A59/4&lt;=31,5,IF($A59/4&lt;=32,4,IF($A59/4&lt;=33,8,IF($A59/4&lt;=34,1,IF($A59/4&lt;=35,7,IF($A59/4&lt;=36,2,IF($A59/4&lt;=37,6,IF($A59/4&lt;=38,3,IF($A59/4&lt;=39,5,IF($A59/4&lt;=40,4))))))))))))))))))))))))))))))))))))))))</f>
        <v>0</v>
      </c>
      <c r="M59" s="383">
        <f>L59+200</f>
        <v>200</v>
      </c>
      <c r="O59" s="18" t="b">
        <f>IF($A59/4&lt;=1,4,IF($A59/4&lt;=2,1,IF($A59/4&lt;=3,3,IF($A59/4&lt;=4,2,IF($A59/4&lt;=5,4,IF($A59/4&lt;=6,1,IF($A59/4&lt;=7,3,IF($A59/4&lt;=8,2,IF($A59/4&lt;=9,4,IF($A59/4&lt;=10,1,IF($A59/4&lt;=11,3,IF($A59/4&lt;=12,2,IF($A59/4&lt;=13,4,IF($A59/4&lt;=14,1,IF($A59/4&lt;=15,3,IF($A59/4&lt;=16,2,IF($A59/4&lt;=17,4,IF($A59/4&lt;=18,1,IF($A59/4&lt;=19,3,IF($A59/4&lt;=20,2,IF($A59/4&lt;=21,4,IF($A59/4&lt;=22,1,IF($A59/4&lt;=23,3,IF($A59/4&lt;=24,2,IF($A59/4&lt;=25,4,IF($A59/4&lt;=26,1,IF($A59/4&lt;=27,3,IF($A59/4&lt;=28,2,IF($A59/4&lt;=29,4,IF($A59/4&lt;=30,1,IF($A59/4&lt;=31,3,IF($A59/4&lt;=32,2,IF($A59/4&lt;=33,4,IF($A59/4&lt;=34,1,IF($A59/4&lt;=35,3,IF($A59/4&lt;=36,2))))))))))))))))))))))))))))))))))))</f>
        <v>0</v>
      </c>
      <c r="P59" s="383" t="e">
        <f>#REF!+10</f>
        <v>#REF!</v>
      </c>
      <c r="R59" s="18" t="b">
        <f>IF($A59/4&lt;=1,6,IF($A59/4&lt;=2,1,IF($A59/4&lt;=3,5,IF($A59/4&lt;=4,2,IF($A59/4&lt;=5,4,IF($A59/4&lt;=6,3,IF($A59/4&lt;=7,6,IF($A59/4&lt;=8,1,IF($A59/4&lt;=9,5,IF($A59/4&lt;=10,2,IF($A59/4&lt;=11,4,IF($A59/4&lt;=12,3,IF($A59/4&lt;=13,6,IF($A59/4&lt;=14,1,IF($A59/4&lt;=15,5,IF($A59/4&lt;=16,2,IF($A59/4&lt;=17,4,IF($A59/4&lt;=18,3,IF($A59/4&lt;=19,6,IF($A59/4&lt;=20,1,IF($A59/4&lt;=21,5,IF($A59/4&lt;=22,2,IF($A59/4&lt;=23,4,IF($A59/4&lt;=24,3,IF($A59/4&lt;=25,6,IF($A59/4&lt;=26,1,IF($A59/4&lt;=27,5,IF($A59/4&lt;=28,2,IF($A59/4&lt;=29,4,IF($A59/4&lt;=30,3,IF($A59/4&lt;=31,6,IF($A59/4&lt;=32,1,IF($A59/4&lt;=33,5,IF($A59/4&lt;=34,2,IF($A59/4&lt;=35,4,IF($A59/4&lt;=36,3))))))))))))))))))))))))))))))))))))</f>
        <v>0</v>
      </c>
      <c r="S59" s="12">
        <f>S41+10</f>
        <v>10</v>
      </c>
      <c r="T59" s="12" t="s">
        <v>335</v>
      </c>
      <c r="U59" s="50">
        <f t="shared" si="9"/>
        <v>5</v>
      </c>
      <c r="PK59" s="14"/>
      <c r="PL59" s="14"/>
      <c r="PM59" s="14"/>
      <c r="PN59" s="14"/>
      <c r="PO59" s="14"/>
      <c r="PP59" s="14"/>
      <c r="PQ59" s="14"/>
      <c r="PR59" s="14"/>
      <c r="PS59" s="14"/>
      <c r="PT59" s="14"/>
      <c r="PU59" s="14"/>
      <c r="PV59" s="14"/>
      <c r="PW59" s="14"/>
      <c r="PX59" s="14"/>
      <c r="PY59" s="14"/>
      <c r="PZ59" s="14"/>
      <c r="QA59" s="14"/>
      <c r="QB59" s="14"/>
      <c r="QC59" s="14"/>
      <c r="QD59" s="14"/>
      <c r="QE59" s="14"/>
      <c r="QF59" s="14"/>
      <c r="QG59" s="14"/>
      <c r="QH59" s="14"/>
      <c r="QI59" s="14"/>
      <c r="QJ59" s="14"/>
      <c r="QK59" s="14"/>
      <c r="QL59" s="14"/>
      <c r="QM59" s="14"/>
      <c r="QN59" s="14"/>
      <c r="QO59" s="14"/>
      <c r="QP59" s="14"/>
      <c r="QQ59" s="14"/>
      <c r="QR59" s="14"/>
      <c r="QS59" s="14"/>
      <c r="QT59" s="14"/>
      <c r="QU59" s="14"/>
      <c r="QV59" s="14"/>
      <c r="QW59" s="14"/>
      <c r="QX59" s="14"/>
      <c r="QY59" s="14"/>
      <c r="QZ59" s="14"/>
      <c r="RA59" s="14"/>
      <c r="RB59" s="14"/>
      <c r="RC59" s="14"/>
      <c r="RD59" s="14"/>
      <c r="RE59" s="14"/>
      <c r="RF59" s="14"/>
      <c r="RG59" s="14"/>
      <c r="RH59" s="14"/>
      <c r="RI59" s="14"/>
      <c r="RJ59" s="14"/>
      <c r="RK59" s="14"/>
      <c r="RL59" s="14"/>
      <c r="RM59" s="14"/>
      <c r="RN59" s="14"/>
      <c r="RO59" s="14"/>
      <c r="RP59" s="14"/>
      <c r="RQ59" s="14"/>
      <c r="RR59" s="14"/>
      <c r="RS59" s="14"/>
      <c r="RT59" s="14"/>
      <c r="RU59" s="14"/>
      <c r="RV59" s="14"/>
      <c r="RW59" s="14"/>
      <c r="RX59" s="14"/>
      <c r="RY59" s="14"/>
      <c r="RZ59" s="14"/>
      <c r="SA59" s="14"/>
      <c r="SB59" s="14"/>
      <c r="SC59" s="14"/>
      <c r="SD59" s="14"/>
      <c r="SE59" s="14"/>
      <c r="SF59" s="14"/>
      <c r="SG59" s="14"/>
      <c r="SH59" s="14"/>
      <c r="SI59" s="14"/>
      <c r="SJ59" s="14"/>
      <c r="SK59" s="14"/>
      <c r="SL59" s="14"/>
      <c r="SM59" s="14"/>
      <c r="SN59" s="14"/>
      <c r="SO59" s="14"/>
      <c r="SP59" s="14"/>
      <c r="SQ59" s="14"/>
      <c r="SR59" s="14"/>
      <c r="SS59" s="14"/>
      <c r="ST59" s="14"/>
      <c r="SU59" s="14"/>
      <c r="SV59" s="14"/>
      <c r="SW59" s="14"/>
      <c r="SX59" s="14"/>
      <c r="SY59" s="14"/>
      <c r="SZ59" s="14"/>
      <c r="TA59" s="14"/>
      <c r="TB59" s="14"/>
      <c r="TC59" s="14"/>
    </row>
    <row r="60" spans="1:523" s="12" customFormat="1" ht="12" customHeight="1">
      <c r="A60" s="6">
        <v>205</v>
      </c>
      <c r="B60" s="29" t="s">
        <v>1</v>
      </c>
      <c r="C60" s="51" t="s">
        <v>59</v>
      </c>
      <c r="E60" s="29">
        <v>2001</v>
      </c>
      <c r="F60" s="23" t="s">
        <v>332</v>
      </c>
      <c r="G60" s="192"/>
      <c r="H60" s="39">
        <v>402.35</v>
      </c>
      <c r="I60" s="182">
        <v>2</v>
      </c>
      <c r="L60" s="18" t="b">
        <f>IF($A60/4&lt;=1,8,IF($A60/4&lt;=2,1,IF($A60/4&lt;=3,7,IF($A60/4&lt;=4,2,IF($A60/4&lt;=5,6,IF($A60/4&lt;=6,3,IF($A60/4&lt;=7,5,IF($A60/4&lt;=8,4,IF($A60/4&lt;=9,8,IF($A60/4&lt;=10,1,IF($A60/4&lt;=11,7,IF($A60/4&lt;=12,2,IF($A60/4&lt;=13,6,IF($A60/4&lt;=14,3,IF($A60/4&lt;=15,5,IF($A60/4&lt;=16,4,IF($A60/4&lt;=17,8,IF($A60/4&lt;=18,1,IF($A60/4&lt;=19,7,IF($A60/4&lt;=20,2,IF($A60/4&lt;=21,6,IF($A60/4&lt;=22,3,IF($A60/4&lt;=23,5,IF($A60/4&lt;=24,4,IF($A60/4&lt;=25,8,IF($A60/4&lt;=26,1,IF($A60/4&lt;=27,7,IF($A60/4&lt;=28,2,IF($A60/4&lt;=29,6,IF($A60/4&lt;=30,3,IF($A60/4&lt;=31,5,IF($A60/4&lt;=32,4,IF($A60/4&lt;=33,8,IF($A60/4&lt;=34,1,IF($A60/4&lt;=35,7,IF($A60/4&lt;=36,2,IF($A60/4&lt;=37,6,IF($A60/4&lt;=38,3,IF($A60/4&lt;=39,5,IF($A60/4&lt;=40,4))))))))))))))))))))))))))))))))))))))))</f>
        <v>0</v>
      </c>
      <c r="M60" s="383">
        <f>L60+200</f>
        <v>200</v>
      </c>
      <c r="O60" s="18" t="b">
        <f>IF($A60/4&lt;=1,4,IF($A60/4&lt;=2,1,IF($A60/4&lt;=3,3,IF($A60/4&lt;=4,2,IF($A60/4&lt;=5,4,IF($A60/4&lt;=6,1,IF($A60/4&lt;=7,3,IF($A60/4&lt;=8,2,IF($A60/4&lt;=9,4,IF($A60/4&lt;=10,1,IF($A60/4&lt;=11,3,IF($A60/4&lt;=12,2,IF($A60/4&lt;=13,4,IF($A60/4&lt;=14,1,IF($A60/4&lt;=15,3,IF($A60/4&lt;=16,2,IF($A60/4&lt;=17,4,IF($A60/4&lt;=18,1,IF($A60/4&lt;=19,3,IF($A60/4&lt;=20,2,IF($A60/4&lt;=21,4,IF($A60/4&lt;=22,1,IF($A60/4&lt;=23,3,IF($A60/4&lt;=24,2,IF($A60/4&lt;=25,4,IF($A60/4&lt;=26,1,IF($A60/4&lt;=27,3,IF($A60/4&lt;=28,2,IF($A60/4&lt;=29,4,IF($A60/4&lt;=30,1,IF($A60/4&lt;=31,3,IF($A60/4&lt;=32,2,IF($A60/4&lt;=33,4,IF($A60/4&lt;=34,1,IF($A60/4&lt;=35,3,IF($A60/4&lt;=36,2))))))))))))))))))))))))))))))))))))</f>
        <v>0</v>
      </c>
      <c r="P60" s="383" t="e">
        <f>#REF!+10</f>
        <v>#REF!</v>
      </c>
      <c r="R60" s="18" t="b">
        <f>IF($A60/4&lt;=1,6,IF($A60/4&lt;=2,1,IF($A60/4&lt;=3,5,IF($A60/4&lt;=4,2,IF($A60/4&lt;=5,4,IF($A60/4&lt;=6,3,IF($A60/4&lt;=7,6,IF($A60/4&lt;=8,1,IF($A60/4&lt;=9,5,IF($A60/4&lt;=10,2,IF($A60/4&lt;=11,4,IF($A60/4&lt;=12,3,IF($A60/4&lt;=13,6,IF($A60/4&lt;=14,1,IF($A60/4&lt;=15,5,IF($A60/4&lt;=16,2,IF($A60/4&lt;=17,4,IF($A60/4&lt;=18,3,IF($A60/4&lt;=19,6,IF($A60/4&lt;=20,1,IF($A60/4&lt;=21,5,IF($A60/4&lt;=22,2,IF($A60/4&lt;=23,4,IF($A60/4&lt;=24,3,IF($A60/4&lt;=25,6,IF($A60/4&lt;=26,1,IF($A60/4&lt;=27,5,IF($A60/4&lt;=28,2,IF($A60/4&lt;=29,4,IF($A60/4&lt;=30,3,IF($A60/4&lt;=31,6,IF($A60/4&lt;=32,1,IF($A60/4&lt;=33,5,IF($A60/4&lt;=34,2,IF($A60/4&lt;=35,4,IF($A60/4&lt;=36,3))))))))))))))))))))))))))))))))))))</f>
        <v>0</v>
      </c>
      <c r="S60" s="12">
        <f>S42+10</f>
        <v>10</v>
      </c>
      <c r="U60" s="50">
        <f t="shared" si="9"/>
        <v>5</v>
      </c>
    </row>
    <row r="61" spans="1:523" s="12" customFormat="1" ht="12" customHeight="1">
      <c r="A61" s="6">
        <v>205</v>
      </c>
      <c r="B61" s="29" t="s">
        <v>13</v>
      </c>
      <c r="C61" s="51" t="s">
        <v>64</v>
      </c>
      <c r="E61" s="29">
        <v>2001</v>
      </c>
      <c r="F61" s="23" t="s">
        <v>332</v>
      </c>
      <c r="G61" s="192"/>
      <c r="H61" s="39">
        <v>402.35</v>
      </c>
      <c r="I61" s="182">
        <v>3</v>
      </c>
      <c r="L61" s="18" t="b">
        <f>IF($A61/4&lt;=1,8,IF($A61/4&lt;=2,1,IF($A61/4&lt;=3,7,IF($A61/4&lt;=4,2,IF($A61/4&lt;=5,6,IF($A61/4&lt;=6,3,IF($A61/4&lt;=7,5,IF($A61/4&lt;=8,4,IF($A61/4&lt;=9,8,IF($A61/4&lt;=10,1,IF($A61/4&lt;=11,7,IF($A61/4&lt;=12,2,IF($A61/4&lt;=13,6,IF($A61/4&lt;=14,3,IF($A61/4&lt;=15,5,IF($A61/4&lt;=16,4,IF($A61/4&lt;=17,8,IF($A61/4&lt;=18,1,IF($A61/4&lt;=19,7,IF($A61/4&lt;=20,2,IF($A61/4&lt;=21,6,IF($A61/4&lt;=22,3,IF($A61/4&lt;=23,5,IF($A61/4&lt;=24,4,IF($A61/4&lt;=25,8,IF($A61/4&lt;=26,1,IF($A61/4&lt;=27,7,IF($A61/4&lt;=28,2,IF($A61/4&lt;=29,6,IF($A61/4&lt;=30,3,IF($A61/4&lt;=31,5,IF($A61/4&lt;=32,4,IF($A61/4&lt;=33,8,IF($A61/4&lt;=34,1,IF($A61/4&lt;=35,7,IF($A61/4&lt;=36,2,IF($A61/4&lt;=37,6,IF($A61/4&lt;=38,3,IF($A61/4&lt;=39,5,IF($A61/4&lt;=40,4))))))))))))))))))))))))))))))))))))))))</f>
        <v>0</v>
      </c>
      <c r="M61" s="383">
        <f>L61+200</f>
        <v>200</v>
      </c>
      <c r="O61" s="18" t="b">
        <f>IF($A61/4&lt;=1,4,IF($A61/4&lt;=2,1,IF($A61/4&lt;=3,3,IF($A61/4&lt;=4,2,IF($A61/4&lt;=5,4,IF($A61/4&lt;=6,1,IF($A61/4&lt;=7,3,IF($A61/4&lt;=8,2,IF($A61/4&lt;=9,4,IF($A61/4&lt;=10,1,IF($A61/4&lt;=11,3,IF($A61/4&lt;=12,2,IF($A61/4&lt;=13,4,IF($A61/4&lt;=14,1,IF($A61/4&lt;=15,3,IF($A61/4&lt;=16,2,IF($A61/4&lt;=17,4,IF($A61/4&lt;=18,1,IF($A61/4&lt;=19,3,IF($A61/4&lt;=20,2,IF($A61/4&lt;=21,4,IF($A61/4&lt;=22,1,IF($A61/4&lt;=23,3,IF($A61/4&lt;=24,2,IF($A61/4&lt;=25,4,IF($A61/4&lt;=26,1,IF($A61/4&lt;=27,3,IF($A61/4&lt;=28,2,IF($A61/4&lt;=29,4,IF($A61/4&lt;=30,1,IF($A61/4&lt;=31,3,IF($A61/4&lt;=32,2,IF($A61/4&lt;=33,4,IF($A61/4&lt;=34,1,IF($A61/4&lt;=35,3,IF($A61/4&lt;=36,2))))))))))))))))))))))))))))))))))))</f>
        <v>0</v>
      </c>
      <c r="P61" s="383" t="e">
        <f>#REF!+10</f>
        <v>#REF!</v>
      </c>
      <c r="R61" s="18" t="b">
        <f>IF($A61/4&lt;=1,6,IF($A61/4&lt;=2,1,IF($A61/4&lt;=3,5,IF($A61/4&lt;=4,2,IF($A61/4&lt;=5,4,IF($A61/4&lt;=6,3,IF($A61/4&lt;=7,6,IF($A61/4&lt;=8,1,IF($A61/4&lt;=9,5,IF($A61/4&lt;=10,2,IF($A61/4&lt;=11,4,IF($A61/4&lt;=12,3,IF($A61/4&lt;=13,6,IF($A61/4&lt;=14,1,IF($A61/4&lt;=15,5,IF($A61/4&lt;=16,2,IF($A61/4&lt;=17,4,IF($A61/4&lt;=18,3,IF($A61/4&lt;=19,6,IF($A61/4&lt;=20,1,IF($A61/4&lt;=21,5,IF($A61/4&lt;=22,2,IF($A61/4&lt;=23,4,IF($A61/4&lt;=24,3,IF($A61/4&lt;=25,6,IF($A61/4&lt;=26,1,IF($A61/4&lt;=27,5,IF($A61/4&lt;=28,2,IF($A61/4&lt;=29,4,IF($A61/4&lt;=30,3,IF($A61/4&lt;=31,6,IF($A61/4&lt;=32,1,IF($A61/4&lt;=33,5,IF($A61/4&lt;=34,2,IF($A61/4&lt;=35,4,IF($A61/4&lt;=36,3))))))))))))))))))))))))))))))))))))</f>
        <v>0</v>
      </c>
      <c r="S61" s="12">
        <f>S43+10</f>
        <v>10</v>
      </c>
      <c r="U61" s="50">
        <f t="shared" si="9"/>
        <v>5</v>
      </c>
    </row>
    <row r="62" spans="1:523" s="12" customFormat="1" ht="12" customHeight="1">
      <c r="A62" s="6">
        <v>205</v>
      </c>
      <c r="B62" s="29" t="s">
        <v>1</v>
      </c>
      <c r="C62" s="51" t="s">
        <v>61</v>
      </c>
      <c r="E62" s="29">
        <v>1998</v>
      </c>
      <c r="F62" s="23" t="s">
        <v>332</v>
      </c>
      <c r="G62" s="192"/>
      <c r="H62" s="39">
        <v>402.35</v>
      </c>
      <c r="I62" s="182">
        <v>4</v>
      </c>
      <c r="L62" s="18" t="b">
        <f>IF($A62/4&lt;=1,8,IF($A62/4&lt;=2,1,IF($A62/4&lt;=3,7,IF($A62/4&lt;=4,2,IF($A62/4&lt;=5,6,IF($A62/4&lt;=6,3,IF($A62/4&lt;=7,5,IF($A62/4&lt;=8,4,IF($A62/4&lt;=9,8,IF($A62/4&lt;=10,1,IF($A62/4&lt;=11,7,IF($A62/4&lt;=12,2,IF($A62/4&lt;=13,6,IF($A62/4&lt;=14,3,IF($A62/4&lt;=15,5,IF($A62/4&lt;=16,4,IF($A62/4&lt;=17,8,IF($A62/4&lt;=18,1,IF($A62/4&lt;=19,7,IF($A62/4&lt;=20,2,IF($A62/4&lt;=21,6,IF($A62/4&lt;=22,3,IF($A62/4&lt;=23,5,IF($A62/4&lt;=24,4,IF($A62/4&lt;=25,8,IF($A62/4&lt;=26,1,IF($A62/4&lt;=27,7,IF($A62/4&lt;=28,2,IF($A62/4&lt;=29,6,IF($A62/4&lt;=30,3,IF($A62/4&lt;=31,5,IF($A62/4&lt;=32,4,IF($A62/4&lt;=33,8,IF($A62/4&lt;=34,1,IF($A62/4&lt;=35,7,IF($A62/4&lt;=36,2,IF($A62/4&lt;=37,6,IF($A62/4&lt;=38,3,IF($A62/4&lt;=39,5,IF($A62/4&lt;=40,4))))))))))))))))))))))))))))))))))))))))</f>
        <v>0</v>
      </c>
      <c r="M62" s="383">
        <f>L62+200</f>
        <v>200</v>
      </c>
      <c r="O62" s="18" t="b">
        <f>IF($A62/4&lt;=1,4,IF($A62/4&lt;=2,1,IF($A62/4&lt;=3,3,IF($A62/4&lt;=4,2,IF($A62/4&lt;=5,4,IF($A62/4&lt;=6,1,IF($A62/4&lt;=7,3,IF($A62/4&lt;=8,2,IF($A62/4&lt;=9,4,IF($A62/4&lt;=10,1,IF($A62/4&lt;=11,3,IF($A62/4&lt;=12,2,IF($A62/4&lt;=13,4,IF($A62/4&lt;=14,1,IF($A62/4&lt;=15,3,IF($A62/4&lt;=16,2,IF($A62/4&lt;=17,4,IF($A62/4&lt;=18,1,IF($A62/4&lt;=19,3,IF($A62/4&lt;=20,2,IF($A62/4&lt;=21,4,IF($A62/4&lt;=22,1,IF($A62/4&lt;=23,3,IF($A62/4&lt;=24,2,IF($A62/4&lt;=25,4,IF($A62/4&lt;=26,1,IF($A62/4&lt;=27,3,IF($A62/4&lt;=28,2,IF($A62/4&lt;=29,4,IF($A62/4&lt;=30,1,IF($A62/4&lt;=31,3,IF($A62/4&lt;=32,2,IF($A62/4&lt;=33,4,IF($A62/4&lt;=34,1,IF($A62/4&lt;=35,3,IF($A62/4&lt;=36,2))))))))))))))))))))))))))))))))))))</f>
        <v>0</v>
      </c>
      <c r="P62" s="383" t="e">
        <f>#REF!+10</f>
        <v>#REF!</v>
      </c>
      <c r="R62" s="18" t="b">
        <f>IF($A62/4&lt;=1,6,IF($A62/4&lt;=2,1,IF($A62/4&lt;=3,5,IF($A62/4&lt;=4,2,IF($A62/4&lt;=5,4,IF($A62/4&lt;=6,3,IF($A62/4&lt;=7,6,IF($A62/4&lt;=8,1,IF($A62/4&lt;=9,5,IF($A62/4&lt;=10,2,IF($A62/4&lt;=11,4,IF($A62/4&lt;=12,3,IF($A62/4&lt;=13,6,IF($A62/4&lt;=14,1,IF($A62/4&lt;=15,5,IF($A62/4&lt;=16,2,IF($A62/4&lt;=17,4,IF($A62/4&lt;=18,3,IF($A62/4&lt;=19,6,IF($A62/4&lt;=20,1,IF($A62/4&lt;=21,5,IF($A62/4&lt;=22,2,IF($A62/4&lt;=23,4,IF($A62/4&lt;=24,3,IF($A62/4&lt;=25,6,IF($A62/4&lt;=26,1,IF($A62/4&lt;=27,5,IF($A62/4&lt;=28,2,IF($A62/4&lt;=29,4,IF($A62/4&lt;=30,3,IF($A62/4&lt;=31,6,IF($A62/4&lt;=32,1,IF($A62/4&lt;=33,5,IF($A62/4&lt;=34,2,IF($A62/4&lt;=35,4,IF($A62/4&lt;=36,3))))))))))))))))))))))))))))))))))))</f>
        <v>0</v>
      </c>
      <c r="S62" s="12">
        <f>S44+10</f>
        <v>10</v>
      </c>
      <c r="U62" s="50">
        <f t="shared" si="9"/>
        <v>5</v>
      </c>
    </row>
    <row r="63" spans="1:523" s="383" customFormat="1" ht="14.25">
      <c r="A63" s="403">
        <f>A64</f>
        <v>206</v>
      </c>
      <c r="C63" s="384"/>
      <c r="D63" s="27"/>
      <c r="F63" s="388" t="str">
        <f>F64</f>
        <v>Клуб 11</v>
      </c>
      <c r="H63" s="404">
        <f>H64</f>
        <v>2000</v>
      </c>
      <c r="I63" s="129"/>
      <c r="L63" s="128"/>
      <c r="O63" s="128"/>
      <c r="R63" s="128"/>
      <c r="U63" s="50">
        <f t="shared" si="9"/>
        <v>6</v>
      </c>
      <c r="CI63" s="385"/>
      <c r="CW63" s="386"/>
      <c r="CX63" s="386"/>
      <c r="CY63" s="386"/>
    </row>
    <row r="64" spans="1:523" s="12" customFormat="1" ht="12" customHeight="1">
      <c r="A64" s="6">
        <v>206</v>
      </c>
      <c r="B64" s="29" t="s">
        <v>13</v>
      </c>
      <c r="C64" s="51" t="s">
        <v>60</v>
      </c>
      <c r="E64" s="29">
        <v>2002</v>
      </c>
      <c r="F64" s="23" t="s">
        <v>333</v>
      </c>
      <c r="G64" s="192"/>
      <c r="H64" s="39">
        <v>2000</v>
      </c>
      <c r="I64" s="182">
        <v>1</v>
      </c>
      <c r="L64" s="18" t="b">
        <f t="shared" ref="L64:L67" si="10">IF($A64/4&lt;=1,8,IF($A64/4&lt;=2,1,IF($A64/4&lt;=3,7,IF($A64/4&lt;=4,2,IF($A64/4&lt;=5,6,IF($A64/4&lt;=6,3,IF($A64/4&lt;=7,5,IF($A64/4&lt;=8,4,IF($A64/4&lt;=9,8,IF($A64/4&lt;=10,1,IF($A64/4&lt;=11,7,IF($A64/4&lt;=12,2,IF($A64/4&lt;=13,6,IF($A64/4&lt;=14,3,IF($A64/4&lt;=15,5,IF($A64/4&lt;=16,4,IF($A64/4&lt;=17,8,IF($A64/4&lt;=18,1,IF($A64/4&lt;=19,7,IF($A64/4&lt;=20,2,IF($A64/4&lt;=21,6,IF($A64/4&lt;=22,3,IF($A64/4&lt;=23,5,IF($A64/4&lt;=24,4,IF($A64/4&lt;=25,8,IF($A64/4&lt;=26,1,IF($A64/4&lt;=27,7,IF($A64/4&lt;=28,2,IF($A64/4&lt;=29,6,IF($A64/4&lt;=30,3,IF($A64/4&lt;=31,5,IF($A64/4&lt;=32,4,IF($A64/4&lt;=33,8,IF($A64/4&lt;=34,1,IF($A64/4&lt;=35,7,IF($A64/4&lt;=36,2,IF($A64/4&lt;=37,6,IF($A64/4&lt;=38,3,IF($A64/4&lt;=39,5,IF($A64/4&lt;=40,4))))))))))))))))))))))))))))))))))))))))</f>
        <v>0</v>
      </c>
      <c r="M64" s="383">
        <f t="shared" ref="M64:M67" si="11">L64+200</f>
        <v>200</v>
      </c>
      <c r="O64" s="18" t="b">
        <f t="shared" ref="O64:O67" si="12">IF($A64/4&lt;=1,4,IF($A64/4&lt;=2,1,IF($A64/4&lt;=3,3,IF($A64/4&lt;=4,2,IF($A64/4&lt;=5,4,IF($A64/4&lt;=6,1,IF($A64/4&lt;=7,3,IF($A64/4&lt;=8,2,IF($A64/4&lt;=9,4,IF($A64/4&lt;=10,1,IF($A64/4&lt;=11,3,IF($A64/4&lt;=12,2,IF($A64/4&lt;=13,4,IF($A64/4&lt;=14,1,IF($A64/4&lt;=15,3,IF($A64/4&lt;=16,2,IF($A64/4&lt;=17,4,IF($A64/4&lt;=18,1,IF($A64/4&lt;=19,3,IF($A64/4&lt;=20,2,IF($A64/4&lt;=21,4,IF($A64/4&lt;=22,1,IF($A64/4&lt;=23,3,IF($A64/4&lt;=24,2,IF($A64/4&lt;=25,4,IF($A64/4&lt;=26,1,IF($A64/4&lt;=27,3,IF($A64/4&lt;=28,2,IF($A64/4&lt;=29,4,IF($A64/4&lt;=30,1,IF($A64/4&lt;=31,3,IF($A64/4&lt;=32,2,IF($A64/4&lt;=33,4,IF($A64/4&lt;=34,1,IF($A64/4&lt;=35,3,IF($A64/4&lt;=36,2))))))))))))))))))))))))))))))))))))</f>
        <v>0</v>
      </c>
      <c r="P64" s="383" t="e">
        <f>#REF!+10</f>
        <v>#REF!</v>
      </c>
      <c r="Q64" s="12" t="s">
        <v>335</v>
      </c>
      <c r="R64" s="18" t="b">
        <f t="shared" ref="R64:R67" si="13">IF($A64/4&lt;=1,6,IF($A64/4&lt;=2,1,IF($A64/4&lt;=3,5,IF($A64/4&lt;=4,2,IF($A64/4&lt;=5,4,IF($A64/4&lt;=6,3,IF($A64/4&lt;=7,6,IF($A64/4&lt;=8,1,IF($A64/4&lt;=9,5,IF($A64/4&lt;=10,2,IF($A64/4&lt;=11,4,IF($A64/4&lt;=12,3,IF($A64/4&lt;=13,6,IF($A64/4&lt;=14,1,IF($A64/4&lt;=15,5,IF($A64/4&lt;=16,2,IF($A64/4&lt;=17,4,IF($A64/4&lt;=18,3,IF($A64/4&lt;=19,6,IF($A64/4&lt;=20,1,IF($A64/4&lt;=21,5,IF($A64/4&lt;=22,2,IF($A64/4&lt;=23,4,IF($A64/4&lt;=24,3,IF($A64/4&lt;=25,6,IF($A64/4&lt;=26,1,IF($A64/4&lt;=27,5,IF($A64/4&lt;=28,2,IF($A64/4&lt;=29,4,IF($A64/4&lt;=30,3,IF($A64/4&lt;=31,6,IF($A64/4&lt;=32,1,IF($A64/4&lt;=33,5,IF($A64/4&lt;=34,2,IF($A64/4&lt;=35,4,IF($A64/4&lt;=36,3))))))))))))))))))))))))))))))))))))</f>
        <v>0</v>
      </c>
      <c r="S64" s="383">
        <f t="shared" ref="S64:S67" si="14">R64+200</f>
        <v>200</v>
      </c>
      <c r="U64" s="50">
        <f t="shared" si="9"/>
        <v>6</v>
      </c>
    </row>
    <row r="65" spans="1:21" s="12" customFormat="1" ht="12" customHeight="1">
      <c r="A65" s="6">
        <v>206</v>
      </c>
      <c r="B65" s="29" t="s">
        <v>13</v>
      </c>
      <c r="C65" s="51" t="s">
        <v>79</v>
      </c>
      <c r="E65" s="29">
        <v>2002</v>
      </c>
      <c r="F65" s="23" t="s">
        <v>333</v>
      </c>
      <c r="G65" s="192"/>
      <c r="H65" s="39">
        <v>2000</v>
      </c>
      <c r="I65" s="182">
        <v>2</v>
      </c>
      <c r="L65" s="18" t="b">
        <f t="shared" si="10"/>
        <v>0</v>
      </c>
      <c r="M65" s="383">
        <f t="shared" si="11"/>
        <v>200</v>
      </c>
      <c r="O65" s="18" t="b">
        <f t="shared" si="12"/>
        <v>0</v>
      </c>
      <c r="P65" s="383" t="e">
        <f>#REF!+10</f>
        <v>#REF!</v>
      </c>
      <c r="R65" s="18" t="b">
        <f t="shared" si="13"/>
        <v>0</v>
      </c>
      <c r="S65" s="383">
        <f t="shared" si="14"/>
        <v>200</v>
      </c>
      <c r="U65" s="50">
        <f t="shared" si="9"/>
        <v>6</v>
      </c>
    </row>
    <row r="66" spans="1:21" s="12" customFormat="1" ht="12" customHeight="1">
      <c r="A66" s="6">
        <v>206</v>
      </c>
      <c r="B66" s="29" t="s">
        <v>13</v>
      </c>
      <c r="C66" s="51" t="s">
        <v>62</v>
      </c>
      <c r="E66" s="29">
        <v>2002</v>
      </c>
      <c r="F66" s="23" t="s">
        <v>333</v>
      </c>
      <c r="G66" s="192"/>
      <c r="H66" s="39">
        <v>2000</v>
      </c>
      <c r="I66" s="182">
        <v>3</v>
      </c>
      <c r="L66" s="18" t="b">
        <f t="shared" si="10"/>
        <v>0</v>
      </c>
      <c r="M66" s="383">
        <f t="shared" si="11"/>
        <v>200</v>
      </c>
      <c r="O66" s="18" t="b">
        <f t="shared" si="12"/>
        <v>0</v>
      </c>
      <c r="P66" s="383" t="e">
        <f>#REF!+10</f>
        <v>#REF!</v>
      </c>
      <c r="R66" s="18" t="b">
        <f t="shared" si="13"/>
        <v>0</v>
      </c>
      <c r="S66" s="383">
        <f t="shared" si="14"/>
        <v>200</v>
      </c>
      <c r="U66" s="50">
        <f t="shared" si="9"/>
        <v>6</v>
      </c>
    </row>
    <row r="67" spans="1:21" s="12" customFormat="1" ht="12" customHeight="1">
      <c r="A67" s="6">
        <v>206</v>
      </c>
      <c r="B67" s="29" t="s">
        <v>13</v>
      </c>
      <c r="C67" s="51" t="s">
        <v>66</v>
      </c>
      <c r="E67" s="29">
        <v>2001</v>
      </c>
      <c r="F67" s="23" t="s">
        <v>333</v>
      </c>
      <c r="G67" s="192"/>
      <c r="H67" s="39">
        <v>2000</v>
      </c>
      <c r="I67" s="182">
        <v>4</v>
      </c>
      <c r="L67" s="18" t="b">
        <f t="shared" si="10"/>
        <v>0</v>
      </c>
      <c r="M67" s="383">
        <f t="shared" si="11"/>
        <v>200</v>
      </c>
      <c r="O67" s="18" t="b">
        <f t="shared" si="12"/>
        <v>0</v>
      </c>
      <c r="P67" s="383" t="e">
        <f>#REF!+10</f>
        <v>#REF!</v>
      </c>
      <c r="R67" s="18" t="b">
        <f t="shared" si="13"/>
        <v>0</v>
      </c>
      <c r="S67" s="383">
        <f t="shared" si="14"/>
        <v>200</v>
      </c>
      <c r="U67" s="50">
        <f t="shared" si="9"/>
        <v>6</v>
      </c>
    </row>
  </sheetData>
  <sortState xmlns:xlrd2="http://schemas.microsoft.com/office/spreadsheetml/2017/richdata2" ref="A49:TD112">
    <sortCondition ref="A49:A112"/>
    <sortCondition ref="I49:I112"/>
  </sortState>
  <mergeCells count="4">
    <mergeCell ref="C8:D8"/>
    <mergeCell ref="F8:G8"/>
    <mergeCell ref="H8:I8"/>
    <mergeCell ref="J8:K8"/>
  </mergeCells>
  <conditionalFormatting sqref="G30:H42 G15:H24">
    <cfRule type="expression" dxfId="162" priority="1">
      <formula>IF(ISNUMBER(G15),FALSE,IF(ISBLANK(G15),FALSE,TRUE))</formula>
    </cfRule>
    <cfRule type="expression" dxfId="161" priority="2">
      <formula>IF(INT(G15/10000)&gt;23,TRUE,IF(INT(MOD(G15,10000)/100)&gt;59.99,TRUE,IF(MOD(G15,100)&gt;59.99,TRUE,FALSE)))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Лист4"/>
  <dimension ref="A1:P91"/>
  <sheetViews>
    <sheetView workbookViewId="0">
      <selection activeCell="G26" sqref="G26"/>
    </sheetView>
  </sheetViews>
  <sheetFormatPr defaultRowHeight="15"/>
  <cols>
    <col min="1" max="1" width="2.95703125" customWidth="1"/>
    <col min="2" max="2" width="6.72265625" customWidth="1"/>
    <col min="3" max="4" width="11.703125" customWidth="1"/>
    <col min="5" max="5" width="5.51171875" customWidth="1"/>
    <col min="6" max="7" width="13.98828125" customWidth="1"/>
    <col min="8" max="8" width="7.12890625" style="364" customWidth="1"/>
    <col min="9" max="9" width="7.12890625" customWidth="1"/>
    <col min="10" max="10" width="6.72265625" customWidth="1"/>
    <col min="11" max="11" width="5.6484375" customWidth="1"/>
    <col min="12" max="12" width="14.125" customWidth="1"/>
    <col min="13" max="13" width="14.390625" customWidth="1"/>
    <col min="14" max="14" width="4.9765625" customWidth="1"/>
    <col min="15" max="15" width="16.0078125" bestFit="1" customWidth="1"/>
  </cols>
  <sheetData>
    <row r="1" spans="1:16" ht="12.75" customHeight="1">
      <c r="A1" s="6"/>
      <c r="B1" s="768"/>
      <c r="C1" s="7"/>
      <c r="D1" s="768"/>
      <c r="E1" s="768"/>
      <c r="F1" s="768"/>
      <c r="G1" s="768"/>
      <c r="H1" s="768"/>
      <c r="I1" s="768"/>
      <c r="J1" s="768"/>
      <c r="K1" s="768"/>
      <c r="L1" s="36"/>
      <c r="M1" s="80"/>
      <c r="N1" s="69"/>
    </row>
    <row r="2" spans="1:16" ht="12.75" customHeight="1">
      <c r="A2" s="6"/>
      <c r="B2" s="768"/>
      <c r="C2" s="7"/>
      <c r="D2" s="768"/>
      <c r="E2" s="768"/>
      <c r="F2" s="768"/>
      <c r="G2" s="768"/>
      <c r="H2" s="768"/>
      <c r="I2" s="768"/>
      <c r="J2" s="768"/>
      <c r="K2" s="768"/>
      <c r="L2" s="36"/>
      <c r="M2" s="69"/>
      <c r="N2" s="69"/>
    </row>
    <row r="3" spans="1:16" ht="12.75" customHeight="1">
      <c r="A3" s="6"/>
      <c r="B3" s="768"/>
      <c r="C3" s="7"/>
      <c r="D3" s="768"/>
      <c r="E3" s="768"/>
      <c r="F3" s="768"/>
      <c r="G3" s="768"/>
      <c r="H3" s="768"/>
      <c r="I3" s="768"/>
      <c r="J3" s="768"/>
      <c r="K3" s="768"/>
      <c r="L3" s="36"/>
      <c r="M3" s="69"/>
      <c r="N3" s="69"/>
    </row>
    <row r="4" spans="1:16" ht="21.75">
      <c r="A4" s="776" t="s">
        <v>103</v>
      </c>
      <c r="B4" s="771"/>
      <c r="C4" s="771"/>
      <c r="D4" s="771"/>
      <c r="E4" s="771"/>
      <c r="F4" s="771"/>
      <c r="G4" s="771"/>
      <c r="H4" s="771"/>
      <c r="I4" s="771"/>
      <c r="J4" s="771"/>
      <c r="K4" s="771"/>
      <c r="L4" s="36"/>
      <c r="M4" s="69"/>
      <c r="N4" s="69"/>
    </row>
    <row r="5" spans="1:16" ht="12.75" customHeight="1" thickBot="1">
      <c r="A5" s="771"/>
      <c r="B5" s="771"/>
      <c r="C5" s="771"/>
      <c r="D5" s="771"/>
      <c r="E5" s="771"/>
      <c r="F5" s="771"/>
      <c r="G5" s="771"/>
      <c r="H5" s="771"/>
      <c r="I5" s="771"/>
      <c r="J5" s="771"/>
      <c r="K5" s="771"/>
      <c r="L5" s="36"/>
      <c r="M5" s="69"/>
      <c r="N5" s="69"/>
    </row>
    <row r="6" spans="1:16" ht="12" customHeight="1">
      <c r="A6" s="8"/>
      <c r="B6" s="10"/>
      <c r="C6" s="7"/>
      <c r="D6" s="7"/>
      <c r="E6" s="9"/>
      <c r="F6" s="7"/>
      <c r="G6" s="7"/>
      <c r="H6" s="36"/>
      <c r="I6" s="36"/>
      <c r="J6" s="9"/>
      <c r="K6" s="11"/>
      <c r="L6" s="36"/>
      <c r="M6" s="81" t="s">
        <v>104</v>
      </c>
      <c r="N6" s="69"/>
      <c r="O6" t="s">
        <v>275</v>
      </c>
    </row>
    <row r="7" spans="1:16" ht="21" customHeight="1" thickBot="1">
      <c r="A7" s="770" t="s">
        <v>54</v>
      </c>
      <c r="B7" s="770"/>
      <c r="C7" s="770"/>
      <c r="D7" s="770"/>
      <c r="E7" s="770"/>
      <c r="F7" s="770"/>
      <c r="G7" s="770"/>
      <c r="H7" s="770"/>
      <c r="I7" s="770"/>
      <c r="J7" s="770"/>
      <c r="K7" s="770"/>
      <c r="L7" s="37"/>
      <c r="M7" s="82">
        <f>ROUNDUP(A48/O7,0)</f>
        <v>5</v>
      </c>
      <c r="N7" s="70"/>
      <c r="O7">
        <v>8</v>
      </c>
    </row>
    <row r="8" spans="1:16" ht="39.75" customHeight="1">
      <c r="A8" s="20" t="s">
        <v>55</v>
      </c>
      <c r="B8" s="21" t="s">
        <v>5</v>
      </c>
      <c r="C8" s="1643" t="s">
        <v>3</v>
      </c>
      <c r="D8" s="1644"/>
      <c r="E8" s="21" t="s">
        <v>4</v>
      </c>
      <c r="F8" s="1643" t="s">
        <v>6</v>
      </c>
      <c r="G8" s="1645"/>
      <c r="H8" s="1646" t="s">
        <v>56</v>
      </c>
      <c r="I8" s="1647"/>
      <c r="J8" s="1643" t="s">
        <v>8</v>
      </c>
      <c r="K8" s="1645"/>
      <c r="L8" s="37"/>
      <c r="M8" s="70"/>
      <c r="N8" s="70"/>
    </row>
    <row r="9" spans="1:16" ht="12" customHeight="1">
      <c r="A9" s="6"/>
      <c r="B9" s="10"/>
      <c r="C9" s="7"/>
      <c r="D9" s="7"/>
      <c r="E9" s="9"/>
      <c r="F9" s="7"/>
      <c r="G9" s="7"/>
      <c r="H9" s="38"/>
      <c r="I9" s="39"/>
      <c r="J9" s="9"/>
      <c r="K9" s="22"/>
      <c r="L9" s="36"/>
      <c r="M9" s="69"/>
      <c r="N9" s="69"/>
    </row>
    <row r="10" spans="1:16" ht="14.25" customHeight="1">
      <c r="A10" s="71"/>
      <c r="B10" s="43"/>
      <c r="C10" s="40" t="s">
        <v>78</v>
      </c>
      <c r="D10" s="41"/>
      <c r="E10" s="42"/>
      <c r="F10" s="41"/>
      <c r="G10" s="41"/>
      <c r="H10" s="44"/>
      <c r="I10" s="24"/>
      <c r="J10" s="42"/>
      <c r="K10" s="45"/>
      <c r="L10" s="72"/>
      <c r="M10" s="42"/>
      <c r="N10" s="42"/>
    </row>
    <row r="11" spans="1:16" ht="15" customHeight="1">
      <c r="A11" s="73"/>
      <c r="B11" s="75" t="s">
        <v>99</v>
      </c>
      <c r="C11" s="46"/>
      <c r="D11" s="47"/>
      <c r="E11" s="28"/>
      <c r="F11" s="47"/>
      <c r="G11" s="47"/>
      <c r="H11" s="48"/>
      <c r="I11" s="24"/>
      <c r="J11" s="47"/>
      <c r="K11" s="61"/>
      <c r="L11" s="74"/>
      <c r="M11" s="28" t="s">
        <v>100</v>
      </c>
      <c r="N11" s="28" t="s">
        <v>101</v>
      </c>
      <c r="P11" s="49" t="s">
        <v>274</v>
      </c>
    </row>
    <row r="12" spans="1:16" s="520" customFormat="1" ht="15" customHeight="1">
      <c r="A12" s="73"/>
      <c r="C12" s="519"/>
      <c r="D12" s="522" t="s">
        <v>58</v>
      </c>
      <c r="E12" s="523">
        <f>INT(A49/10)</f>
        <v>0</v>
      </c>
      <c r="F12" s="17"/>
      <c r="G12" s="17"/>
      <c r="H12" s="521"/>
      <c r="I12" s="30"/>
      <c r="J12" s="17"/>
      <c r="K12" s="61"/>
      <c r="L12" s="74"/>
      <c r="M12" s="18"/>
      <c r="N12" s="18"/>
      <c r="P12" s="50"/>
    </row>
    <row r="13" spans="1:16" ht="15" customHeight="1">
      <c r="A13" s="73">
        <v>1</v>
      </c>
      <c r="B13" s="18"/>
      <c r="C13" s="46"/>
      <c r="D13" s="47"/>
      <c r="E13" s="28"/>
      <c r="F13" s="47"/>
      <c r="G13" s="47"/>
      <c r="H13" s="48"/>
      <c r="I13" s="24"/>
      <c r="J13" s="47"/>
      <c r="K13" s="61"/>
      <c r="L13" s="74"/>
      <c r="M13" s="28">
        <f t="shared" ref="M13:M48" si="0">IF($A13/$M$7&lt;=1,6,IF($A13/$M$7&lt;=2,1,IF($A13/$M$7&lt;=3,5,IF($A13/$M$7&lt;=4,2,IF($A13/$M$7&lt;=5,4,IF($A13/$M$7&lt;=6,3))))))</f>
        <v>6</v>
      </c>
      <c r="N13" s="28">
        <f>M13+10</f>
        <v>16</v>
      </c>
      <c r="P13" s="50">
        <f t="shared" ref="P13:P48" si="1">IF(MOD($A13,10)&lt;10,MOD($A13,10),IF($A13/10&gt;8,MOD($A13,80),IF($A13/10&gt;7,MOD($A13,70),IF($A13/10&gt;6,MOD($A13,60),IF($A13/10&gt;5,MOD($A13,50),IF($A13/10&gt;4,MOD($A13,40),IF($A13/10&gt;3,MOD($A13,30),IF($A13/10&gt;2,MOD($A13,20),MOD($A13,100)))))))))</f>
        <v>1</v>
      </c>
    </row>
    <row r="14" spans="1:16" ht="15" customHeight="1">
      <c r="A14" s="77">
        <f>A13+1</f>
        <v>2</v>
      </c>
      <c r="B14" s="18"/>
      <c r="C14" s="46"/>
      <c r="D14" s="78"/>
      <c r="E14" s="28"/>
      <c r="F14" s="47"/>
      <c r="G14" s="47"/>
      <c r="H14" s="48"/>
      <c r="I14" s="24"/>
      <c r="J14" s="47"/>
      <c r="K14" s="61"/>
      <c r="L14" s="74"/>
      <c r="M14" s="28">
        <f t="shared" si="0"/>
        <v>6</v>
      </c>
      <c r="N14" s="28">
        <f>M14+20</f>
        <v>26</v>
      </c>
      <c r="P14" s="50">
        <f t="shared" si="1"/>
        <v>2</v>
      </c>
    </row>
    <row r="15" spans="1:16" ht="12" customHeight="1">
      <c r="A15" s="77">
        <f t="shared" ref="A15:A48" si="2">A14+1</f>
        <v>3</v>
      </c>
      <c r="B15" s="33" t="s">
        <v>29</v>
      </c>
      <c r="C15" s="51" t="s">
        <v>28</v>
      </c>
      <c r="D15" s="12"/>
      <c r="E15" s="31">
        <v>2002</v>
      </c>
      <c r="F15" s="23" t="s">
        <v>20</v>
      </c>
      <c r="G15" s="53"/>
      <c r="H15" s="52">
        <v>30</v>
      </c>
      <c r="I15" s="12"/>
      <c r="J15" s="33"/>
      <c r="K15" s="12"/>
      <c r="L15" s="12"/>
      <c r="M15" s="28">
        <f t="shared" si="0"/>
        <v>6</v>
      </c>
      <c r="N15" s="10">
        <f>M15+30</f>
        <v>36</v>
      </c>
      <c r="P15" s="50">
        <f t="shared" si="1"/>
        <v>3</v>
      </c>
    </row>
    <row r="16" spans="1:16" ht="12" customHeight="1">
      <c r="A16" s="77">
        <f t="shared" si="2"/>
        <v>4</v>
      </c>
      <c r="B16" s="18" t="s">
        <v>35</v>
      </c>
      <c r="C16" s="51" t="s">
        <v>34</v>
      </c>
      <c r="D16" s="12"/>
      <c r="E16" s="31">
        <v>2002</v>
      </c>
      <c r="F16" s="23" t="s">
        <v>20</v>
      </c>
      <c r="G16" s="53"/>
      <c r="H16" s="52">
        <v>30</v>
      </c>
      <c r="I16" s="12"/>
      <c r="J16" s="33"/>
      <c r="K16" s="12"/>
      <c r="L16" s="12"/>
      <c r="M16" s="28">
        <f t="shared" si="0"/>
        <v>6</v>
      </c>
      <c r="N16" s="10">
        <f>M16+40</f>
        <v>46</v>
      </c>
      <c r="P16" s="50">
        <f t="shared" si="1"/>
        <v>4</v>
      </c>
    </row>
    <row r="17" spans="1:16" ht="12" customHeight="1">
      <c r="A17" s="77">
        <f t="shared" si="2"/>
        <v>5</v>
      </c>
      <c r="B17" s="18" t="s">
        <v>10</v>
      </c>
      <c r="C17" s="51" t="s">
        <v>36</v>
      </c>
      <c r="D17" s="12"/>
      <c r="E17" s="31">
        <v>1998</v>
      </c>
      <c r="F17" s="23" t="s">
        <v>20</v>
      </c>
      <c r="G17" s="53"/>
      <c r="H17" s="52">
        <v>30</v>
      </c>
      <c r="I17" s="12"/>
      <c r="J17" s="33"/>
      <c r="K17" s="12"/>
      <c r="L17" s="12"/>
      <c r="M17" s="28">
        <f t="shared" si="0"/>
        <v>6</v>
      </c>
      <c r="N17" s="10">
        <f>M17+50</f>
        <v>56</v>
      </c>
      <c r="P17" s="50">
        <f t="shared" si="1"/>
        <v>5</v>
      </c>
    </row>
    <row r="18" spans="1:16" ht="12" customHeight="1">
      <c r="A18" s="77">
        <f t="shared" si="2"/>
        <v>6</v>
      </c>
      <c r="B18" s="33" t="s">
        <v>1</v>
      </c>
      <c r="C18" s="51" t="s">
        <v>40</v>
      </c>
      <c r="D18" s="12"/>
      <c r="E18" s="31">
        <v>2002</v>
      </c>
      <c r="F18" s="23" t="s">
        <v>20</v>
      </c>
      <c r="G18" s="53"/>
      <c r="H18" s="52">
        <v>30</v>
      </c>
      <c r="I18" s="12"/>
      <c r="J18" s="33"/>
      <c r="K18" s="12"/>
      <c r="L18" s="12"/>
      <c r="M18" s="28">
        <f t="shared" si="0"/>
        <v>1</v>
      </c>
      <c r="N18" s="28">
        <f>M18+10</f>
        <v>11</v>
      </c>
      <c r="O18" t="s">
        <v>270</v>
      </c>
      <c r="P18" s="50">
        <f t="shared" si="1"/>
        <v>6</v>
      </c>
    </row>
    <row r="19" spans="1:16" ht="12" customHeight="1">
      <c r="A19" s="77">
        <f t="shared" si="2"/>
        <v>7</v>
      </c>
      <c r="B19" s="33" t="s">
        <v>27</v>
      </c>
      <c r="C19" s="51" t="s">
        <v>46</v>
      </c>
      <c r="D19" s="12"/>
      <c r="E19" s="31">
        <v>2001</v>
      </c>
      <c r="F19" s="23" t="s">
        <v>20</v>
      </c>
      <c r="G19" s="53"/>
      <c r="H19" s="52">
        <v>30</v>
      </c>
      <c r="I19" s="12"/>
      <c r="J19" s="33"/>
      <c r="K19" s="12"/>
      <c r="L19" s="12"/>
      <c r="M19" s="28">
        <f t="shared" si="0"/>
        <v>1</v>
      </c>
      <c r="N19" s="28">
        <f>M19+20</f>
        <v>21</v>
      </c>
      <c r="P19" s="50">
        <f t="shared" si="1"/>
        <v>7</v>
      </c>
    </row>
    <row r="20" spans="1:16" ht="12" customHeight="1">
      <c r="A20" s="77">
        <f t="shared" si="2"/>
        <v>8</v>
      </c>
      <c r="B20" s="33" t="s">
        <v>29</v>
      </c>
      <c r="C20" s="51" t="s">
        <v>50</v>
      </c>
      <c r="D20" s="12"/>
      <c r="E20" s="31">
        <v>2006</v>
      </c>
      <c r="F20" s="23" t="s">
        <v>20</v>
      </c>
      <c r="G20" s="53"/>
      <c r="H20" s="52">
        <v>30</v>
      </c>
      <c r="I20" s="12"/>
      <c r="J20" s="33"/>
      <c r="K20" s="12"/>
      <c r="L20" s="12"/>
      <c r="M20" s="28">
        <f t="shared" si="0"/>
        <v>1</v>
      </c>
      <c r="N20" s="10">
        <f>M20+30</f>
        <v>31</v>
      </c>
      <c r="P20" s="50">
        <f t="shared" si="1"/>
        <v>8</v>
      </c>
    </row>
    <row r="21" spans="1:16" ht="12" customHeight="1">
      <c r="A21" s="77">
        <f t="shared" si="2"/>
        <v>9</v>
      </c>
      <c r="B21" s="18" t="s">
        <v>35</v>
      </c>
      <c r="C21" s="51" t="s">
        <v>77</v>
      </c>
      <c r="D21" s="12"/>
      <c r="E21" s="31">
        <v>2001</v>
      </c>
      <c r="F21" s="23" t="s">
        <v>20</v>
      </c>
      <c r="G21" s="53"/>
      <c r="H21" s="52">
        <v>30</v>
      </c>
      <c r="I21" s="12"/>
      <c r="J21" s="33"/>
      <c r="K21" s="12"/>
      <c r="L21" s="12"/>
      <c r="M21" s="28">
        <f t="shared" si="0"/>
        <v>1</v>
      </c>
      <c r="N21" s="10">
        <f>M21+40</f>
        <v>41</v>
      </c>
      <c r="P21" s="50">
        <f t="shared" si="1"/>
        <v>9</v>
      </c>
    </row>
    <row r="22" spans="1:16" ht="12" customHeight="1">
      <c r="A22" s="77">
        <f t="shared" si="2"/>
        <v>10</v>
      </c>
      <c r="B22" s="33" t="s">
        <v>27</v>
      </c>
      <c r="C22" s="51" t="s">
        <v>26</v>
      </c>
      <c r="D22" s="12"/>
      <c r="E22" s="31">
        <v>2001</v>
      </c>
      <c r="F22" s="23" t="s">
        <v>20</v>
      </c>
      <c r="G22" s="53"/>
      <c r="H22" s="52">
        <v>29.8</v>
      </c>
      <c r="I22" s="12"/>
      <c r="J22" s="33"/>
      <c r="K22" s="12"/>
      <c r="L22" s="12"/>
      <c r="M22" s="28">
        <f t="shared" si="0"/>
        <v>1</v>
      </c>
      <c r="N22" s="10">
        <f>M22+50</f>
        <v>51</v>
      </c>
      <c r="P22" s="50">
        <f t="shared" si="1"/>
        <v>0</v>
      </c>
    </row>
    <row r="23" spans="1:16" ht="12" customHeight="1">
      <c r="A23" s="77">
        <f t="shared" si="2"/>
        <v>11</v>
      </c>
      <c r="B23" s="33" t="s">
        <v>25</v>
      </c>
      <c r="C23" s="51" t="s">
        <v>38</v>
      </c>
      <c r="D23" s="12"/>
      <c r="E23" s="31">
        <v>2000</v>
      </c>
      <c r="F23" s="23" t="s">
        <v>20</v>
      </c>
      <c r="G23" s="53"/>
      <c r="H23" s="52">
        <v>29.8</v>
      </c>
      <c r="I23" s="12"/>
      <c r="J23" s="33"/>
      <c r="K23" s="12"/>
      <c r="L23" s="12"/>
      <c r="M23" s="28">
        <f t="shared" si="0"/>
        <v>5</v>
      </c>
      <c r="N23" s="10">
        <f>M23+50</f>
        <v>55</v>
      </c>
      <c r="P23" s="50">
        <f t="shared" si="1"/>
        <v>1</v>
      </c>
    </row>
    <row r="24" spans="1:16" ht="12" customHeight="1">
      <c r="A24" s="77">
        <f t="shared" si="2"/>
        <v>12</v>
      </c>
      <c r="B24" s="33" t="s">
        <v>27</v>
      </c>
      <c r="C24" s="51" t="s">
        <v>39</v>
      </c>
      <c r="D24" s="12"/>
      <c r="E24" s="31">
        <v>2001</v>
      </c>
      <c r="F24" s="23" t="s">
        <v>20</v>
      </c>
      <c r="G24" s="53"/>
      <c r="H24" s="52">
        <v>29.8</v>
      </c>
      <c r="I24" s="12"/>
      <c r="J24" s="33"/>
      <c r="K24" s="12"/>
      <c r="L24" s="12"/>
      <c r="M24" s="28">
        <f t="shared" si="0"/>
        <v>5</v>
      </c>
      <c r="N24" s="10">
        <f>M24+60</f>
        <v>65</v>
      </c>
      <c r="P24" s="50">
        <f t="shared" si="1"/>
        <v>2</v>
      </c>
    </row>
    <row r="25" spans="1:16" ht="12" customHeight="1">
      <c r="A25" s="77">
        <f t="shared" si="2"/>
        <v>13</v>
      </c>
      <c r="B25" s="33" t="s">
        <v>25</v>
      </c>
      <c r="C25" s="51" t="s">
        <v>45</v>
      </c>
      <c r="D25" s="12"/>
      <c r="E25" s="31">
        <v>2000</v>
      </c>
      <c r="F25" s="23" t="s">
        <v>20</v>
      </c>
      <c r="G25" s="53"/>
      <c r="H25" s="52">
        <v>29.8</v>
      </c>
      <c r="I25" s="12"/>
      <c r="J25" s="33"/>
      <c r="K25" s="12"/>
      <c r="L25" s="12"/>
      <c r="M25" s="28">
        <f t="shared" si="0"/>
        <v>5</v>
      </c>
      <c r="N25" s="28">
        <f>M25+10</f>
        <v>15</v>
      </c>
      <c r="P25" s="50">
        <f t="shared" si="1"/>
        <v>3</v>
      </c>
    </row>
    <row r="26" spans="1:16" ht="12" customHeight="1">
      <c r="A26" s="77">
        <f t="shared" si="2"/>
        <v>14</v>
      </c>
      <c r="B26" s="33" t="s">
        <v>29</v>
      </c>
      <c r="C26" s="51" t="s">
        <v>49</v>
      </c>
      <c r="D26" s="12"/>
      <c r="E26" s="31">
        <v>2005</v>
      </c>
      <c r="F26" s="23" t="s">
        <v>20</v>
      </c>
      <c r="G26" s="53"/>
      <c r="H26" s="52">
        <v>29.8</v>
      </c>
      <c r="I26" s="12"/>
      <c r="J26" s="33"/>
      <c r="K26" s="12"/>
      <c r="L26" s="12"/>
      <c r="M26" s="28">
        <f t="shared" si="0"/>
        <v>5</v>
      </c>
      <c r="N26" s="28">
        <f>M26+20</f>
        <v>25</v>
      </c>
      <c r="P26" s="50">
        <f t="shared" si="1"/>
        <v>4</v>
      </c>
    </row>
    <row r="27" spans="1:16" ht="12" customHeight="1">
      <c r="A27" s="77">
        <f t="shared" si="2"/>
        <v>15</v>
      </c>
      <c r="B27" s="18" t="s">
        <v>11</v>
      </c>
      <c r="C27" s="51" t="s">
        <v>73</v>
      </c>
      <c r="D27" s="12"/>
      <c r="E27" s="31">
        <v>2000</v>
      </c>
      <c r="F27" s="23" t="s">
        <v>20</v>
      </c>
      <c r="G27" s="53"/>
      <c r="H27" s="52">
        <v>29.8</v>
      </c>
      <c r="I27" s="12"/>
      <c r="J27" s="33"/>
      <c r="K27" s="12"/>
      <c r="L27" s="12"/>
      <c r="M27" s="28">
        <f t="shared" si="0"/>
        <v>5</v>
      </c>
      <c r="N27" s="10">
        <f>M27+30</f>
        <v>35</v>
      </c>
      <c r="P27" s="50">
        <f t="shared" si="1"/>
        <v>5</v>
      </c>
    </row>
    <row r="28" spans="1:16" ht="12" customHeight="1">
      <c r="A28" s="77">
        <f t="shared" si="2"/>
        <v>16</v>
      </c>
      <c r="B28" s="33" t="s">
        <v>23</v>
      </c>
      <c r="C28" s="51" t="s">
        <v>44</v>
      </c>
      <c r="D28" s="12"/>
      <c r="E28" s="31">
        <v>1999</v>
      </c>
      <c r="F28" s="23" t="s">
        <v>20</v>
      </c>
      <c r="G28" s="53"/>
      <c r="H28" s="52">
        <v>29.7</v>
      </c>
      <c r="I28" s="12"/>
      <c r="J28" s="33"/>
      <c r="K28" s="12" t="s">
        <v>12</v>
      </c>
      <c r="L28" s="12"/>
      <c r="M28" s="28">
        <f t="shared" si="0"/>
        <v>2</v>
      </c>
      <c r="N28" s="10">
        <f>M28+40</f>
        <v>42</v>
      </c>
      <c r="P28" s="50">
        <f t="shared" si="1"/>
        <v>6</v>
      </c>
    </row>
    <row r="29" spans="1:16" ht="12" customHeight="1">
      <c r="A29" s="77">
        <f t="shared" si="2"/>
        <v>17</v>
      </c>
      <c r="B29" s="18" t="s">
        <v>10</v>
      </c>
      <c r="C29" s="51" t="s">
        <v>75</v>
      </c>
      <c r="D29" s="12"/>
      <c r="E29" s="31">
        <v>1999</v>
      </c>
      <c r="F29" s="23" t="s">
        <v>20</v>
      </c>
      <c r="G29" s="53"/>
      <c r="H29" s="52">
        <v>29.7</v>
      </c>
      <c r="I29" s="12"/>
      <c r="J29" s="33"/>
      <c r="K29" s="12" t="s">
        <v>12</v>
      </c>
      <c r="L29" s="12"/>
      <c r="M29" s="28">
        <f t="shared" si="0"/>
        <v>2</v>
      </c>
      <c r="N29" s="10">
        <f>M29+50</f>
        <v>52</v>
      </c>
      <c r="P29" s="50">
        <f t="shared" si="1"/>
        <v>7</v>
      </c>
    </row>
    <row r="30" spans="1:16" ht="12" customHeight="1">
      <c r="A30" s="77">
        <f t="shared" si="2"/>
        <v>18</v>
      </c>
      <c r="B30" s="33" t="s">
        <v>23</v>
      </c>
      <c r="C30" s="51" t="s">
        <v>22</v>
      </c>
      <c r="D30" s="12"/>
      <c r="E30" s="31">
        <v>1999</v>
      </c>
      <c r="F30" s="23" t="s">
        <v>20</v>
      </c>
      <c r="G30" s="53"/>
      <c r="H30" s="52">
        <v>29.5</v>
      </c>
      <c r="I30" s="12"/>
      <c r="J30" s="33"/>
      <c r="K30" s="79"/>
      <c r="L30" s="12"/>
      <c r="M30" s="28">
        <f t="shared" si="0"/>
        <v>2</v>
      </c>
      <c r="N30" s="10">
        <f>M30+60</f>
        <v>62</v>
      </c>
      <c r="P30" s="50">
        <f t="shared" si="1"/>
        <v>8</v>
      </c>
    </row>
    <row r="31" spans="1:16" ht="12" customHeight="1">
      <c r="A31" s="77">
        <f t="shared" si="2"/>
        <v>19</v>
      </c>
      <c r="B31" s="18" t="s">
        <v>11</v>
      </c>
      <c r="C31" s="51" t="s">
        <v>37</v>
      </c>
      <c r="D31" s="12"/>
      <c r="E31" s="31">
        <v>1999</v>
      </c>
      <c r="F31" s="23" t="s">
        <v>20</v>
      </c>
      <c r="G31" s="53"/>
      <c r="H31" s="52">
        <v>29.5</v>
      </c>
      <c r="I31" s="12"/>
      <c r="J31" s="33"/>
      <c r="K31" s="12"/>
      <c r="L31" s="12"/>
      <c r="M31" s="28">
        <f t="shared" si="0"/>
        <v>2</v>
      </c>
      <c r="N31" s="28">
        <f>M31+10</f>
        <v>12</v>
      </c>
      <c r="P31" s="50">
        <f t="shared" si="1"/>
        <v>9</v>
      </c>
    </row>
    <row r="32" spans="1:16" ht="12" customHeight="1">
      <c r="A32" s="77">
        <f t="shared" si="2"/>
        <v>20</v>
      </c>
      <c r="B32" s="33" t="s">
        <v>13</v>
      </c>
      <c r="C32" s="51" t="s">
        <v>43</v>
      </c>
      <c r="D32" s="12"/>
      <c r="E32" s="31">
        <v>1998</v>
      </c>
      <c r="F32" s="23" t="s">
        <v>20</v>
      </c>
      <c r="G32" s="53"/>
      <c r="H32" s="52">
        <v>29.5</v>
      </c>
      <c r="I32" s="12"/>
      <c r="J32" s="33"/>
      <c r="K32" s="12"/>
      <c r="L32" s="12"/>
      <c r="M32" s="28">
        <f t="shared" si="0"/>
        <v>2</v>
      </c>
      <c r="N32" s="28">
        <f>M32+20</f>
        <v>22</v>
      </c>
      <c r="P32" s="50">
        <f t="shared" si="1"/>
        <v>0</v>
      </c>
    </row>
    <row r="33" spans="1:16" ht="12" customHeight="1">
      <c r="A33" s="77">
        <f t="shared" si="2"/>
        <v>21</v>
      </c>
      <c r="B33" s="33" t="s">
        <v>29</v>
      </c>
      <c r="C33" s="51" t="s">
        <v>52</v>
      </c>
      <c r="D33" s="12"/>
      <c r="E33" s="31">
        <v>2008</v>
      </c>
      <c r="F33" s="23" t="s">
        <v>20</v>
      </c>
      <c r="G33" s="53"/>
      <c r="H33" s="52">
        <v>29.5</v>
      </c>
      <c r="I33" s="12"/>
      <c r="J33" s="33"/>
      <c r="K33" s="12"/>
      <c r="L33" s="12"/>
      <c r="M33" s="28">
        <f t="shared" si="0"/>
        <v>4</v>
      </c>
      <c r="N33" s="10">
        <f>M33+30</f>
        <v>34</v>
      </c>
      <c r="P33" s="50">
        <f t="shared" si="1"/>
        <v>1</v>
      </c>
    </row>
    <row r="34" spans="1:16" ht="12" customHeight="1">
      <c r="A34" s="77">
        <f t="shared" si="2"/>
        <v>22</v>
      </c>
      <c r="B34" s="33" t="s">
        <v>13</v>
      </c>
      <c r="C34" s="51" t="s">
        <v>41</v>
      </c>
      <c r="D34" s="12"/>
      <c r="E34" s="31">
        <v>2003</v>
      </c>
      <c r="F34" s="23" t="s">
        <v>20</v>
      </c>
      <c r="G34" s="53"/>
      <c r="H34" s="52">
        <v>27.5</v>
      </c>
      <c r="I34" s="12"/>
      <c r="J34" s="33"/>
      <c r="K34" s="12"/>
      <c r="L34" s="12"/>
      <c r="M34" s="28">
        <f t="shared" si="0"/>
        <v>4</v>
      </c>
      <c r="N34" s="10">
        <f>M34+40</f>
        <v>44</v>
      </c>
      <c r="P34" s="50">
        <f t="shared" si="1"/>
        <v>2</v>
      </c>
    </row>
    <row r="35" spans="1:16" ht="12" customHeight="1">
      <c r="A35" s="77">
        <f t="shared" si="2"/>
        <v>23</v>
      </c>
      <c r="B35" s="18" t="s">
        <v>11</v>
      </c>
      <c r="C35" s="51" t="s">
        <v>42</v>
      </c>
      <c r="D35" s="12"/>
      <c r="E35" s="31">
        <v>1996</v>
      </c>
      <c r="F35" s="23" t="s">
        <v>20</v>
      </c>
      <c r="G35" s="53"/>
      <c r="H35" s="52">
        <v>27.5</v>
      </c>
      <c r="I35" s="12"/>
      <c r="J35" s="33"/>
      <c r="K35" s="12"/>
      <c r="L35" s="12"/>
      <c r="M35" s="28">
        <f t="shared" si="0"/>
        <v>4</v>
      </c>
      <c r="N35" s="10">
        <f>M35+50</f>
        <v>54</v>
      </c>
      <c r="P35" s="50">
        <f t="shared" si="1"/>
        <v>3</v>
      </c>
    </row>
    <row r="36" spans="1:16" ht="12" customHeight="1">
      <c r="A36" s="77">
        <f t="shared" si="2"/>
        <v>24</v>
      </c>
      <c r="B36" s="18" t="s">
        <v>10</v>
      </c>
      <c r="C36" s="51" t="s">
        <v>19</v>
      </c>
      <c r="D36" s="12"/>
      <c r="E36" s="31">
        <v>2000</v>
      </c>
      <c r="F36" s="23" t="s">
        <v>20</v>
      </c>
      <c r="G36" s="53"/>
      <c r="H36" s="52">
        <v>26.9</v>
      </c>
      <c r="I36" s="12"/>
      <c r="J36" s="33"/>
      <c r="K36" s="79"/>
      <c r="L36" s="12"/>
      <c r="M36" s="28">
        <f t="shared" si="0"/>
        <v>4</v>
      </c>
      <c r="N36" s="10">
        <f>M36+60</f>
        <v>64</v>
      </c>
      <c r="P36" s="50">
        <f t="shared" si="1"/>
        <v>4</v>
      </c>
    </row>
    <row r="37" spans="1:16" ht="12" customHeight="1">
      <c r="A37" s="77">
        <f t="shared" si="2"/>
        <v>25</v>
      </c>
      <c r="B37" s="33" t="s">
        <v>1</v>
      </c>
      <c r="C37" s="51" t="s">
        <v>21</v>
      </c>
      <c r="D37" s="12"/>
      <c r="E37" s="31">
        <v>1998</v>
      </c>
      <c r="F37" s="23" t="s">
        <v>20</v>
      </c>
      <c r="G37" s="53"/>
      <c r="H37" s="52">
        <v>25.2</v>
      </c>
      <c r="I37" s="12"/>
      <c r="J37" s="33"/>
      <c r="K37" s="79"/>
      <c r="L37" s="12"/>
      <c r="M37" s="28">
        <f t="shared" si="0"/>
        <v>4</v>
      </c>
      <c r="N37" s="28">
        <f>M37+10</f>
        <v>14</v>
      </c>
      <c r="P37" s="50">
        <f t="shared" si="1"/>
        <v>5</v>
      </c>
    </row>
    <row r="38" spans="1:16" ht="12" customHeight="1">
      <c r="A38" s="77">
        <f t="shared" si="2"/>
        <v>26</v>
      </c>
      <c r="B38" s="18" t="s">
        <v>10</v>
      </c>
      <c r="C38" s="51" t="s">
        <v>71</v>
      </c>
      <c r="D38" s="12"/>
      <c r="E38" s="31">
        <v>2006</v>
      </c>
      <c r="F38" s="23" t="s">
        <v>20</v>
      </c>
      <c r="G38" s="53"/>
      <c r="H38" s="52">
        <v>23.2</v>
      </c>
      <c r="I38" s="12"/>
      <c r="J38" s="12"/>
      <c r="K38" s="12"/>
      <c r="L38" s="12"/>
      <c r="M38" s="28">
        <f t="shared" si="0"/>
        <v>3</v>
      </c>
      <c r="N38" s="28">
        <f>M38+20</f>
        <v>23</v>
      </c>
      <c r="P38" s="50">
        <f t="shared" si="1"/>
        <v>6</v>
      </c>
    </row>
    <row r="39" spans="1:16" ht="12" customHeight="1">
      <c r="A39" s="77">
        <f t="shared" si="2"/>
        <v>27</v>
      </c>
      <c r="B39" s="33" t="s">
        <v>14</v>
      </c>
      <c r="C39" s="51" t="s">
        <v>76</v>
      </c>
      <c r="D39" s="12"/>
      <c r="E39" s="31">
        <v>2002</v>
      </c>
      <c r="F39" s="23" t="s">
        <v>20</v>
      </c>
      <c r="G39" s="53"/>
      <c r="H39" s="52">
        <v>22.8</v>
      </c>
      <c r="I39" s="12"/>
      <c r="J39" s="33"/>
      <c r="K39" s="12"/>
      <c r="L39" s="12"/>
      <c r="M39" s="28">
        <f t="shared" si="0"/>
        <v>3</v>
      </c>
      <c r="N39" s="10">
        <f>M39+30</f>
        <v>33</v>
      </c>
      <c r="P39" s="50">
        <f t="shared" si="1"/>
        <v>7</v>
      </c>
    </row>
    <row r="40" spans="1:16" ht="12" customHeight="1">
      <c r="A40" s="77">
        <f t="shared" si="2"/>
        <v>28</v>
      </c>
      <c r="B40" s="33" t="s">
        <v>29</v>
      </c>
      <c r="C40" s="51" t="s">
        <v>51</v>
      </c>
      <c r="D40" s="12"/>
      <c r="E40" s="31">
        <v>2007</v>
      </c>
      <c r="F40" s="23" t="s">
        <v>20</v>
      </c>
      <c r="G40" s="53"/>
      <c r="H40" s="52">
        <v>22.5</v>
      </c>
      <c r="I40" s="12"/>
      <c r="J40" s="33"/>
      <c r="K40" s="12"/>
      <c r="L40" s="12"/>
      <c r="M40" s="28">
        <f t="shared" si="0"/>
        <v>3</v>
      </c>
      <c r="N40" s="10">
        <f>M40+40</f>
        <v>43</v>
      </c>
      <c r="P40" s="50">
        <f t="shared" si="1"/>
        <v>8</v>
      </c>
    </row>
    <row r="41" spans="1:16" ht="12" customHeight="1">
      <c r="A41" s="77">
        <f t="shared" si="2"/>
        <v>29</v>
      </c>
      <c r="B41" s="33" t="s">
        <v>1</v>
      </c>
      <c r="C41" s="51" t="s">
        <v>31</v>
      </c>
      <c r="D41" s="12"/>
      <c r="E41" s="31">
        <v>1999</v>
      </c>
      <c r="F41" s="23" t="s">
        <v>20</v>
      </c>
      <c r="G41" s="53"/>
      <c r="H41" s="52">
        <v>22.1</v>
      </c>
      <c r="I41" s="12"/>
      <c r="J41" s="33"/>
      <c r="K41" s="12"/>
      <c r="L41" s="12"/>
      <c r="M41" s="28">
        <f t="shared" si="0"/>
        <v>3</v>
      </c>
      <c r="N41" s="10">
        <f>M41+50</f>
        <v>53</v>
      </c>
      <c r="P41" s="50">
        <f t="shared" si="1"/>
        <v>9</v>
      </c>
    </row>
    <row r="42" spans="1:16" ht="12" customHeight="1">
      <c r="A42" s="77">
        <f t="shared" si="2"/>
        <v>30</v>
      </c>
      <c r="B42" s="33" t="s">
        <v>1</v>
      </c>
      <c r="C42" s="51" t="s">
        <v>30</v>
      </c>
      <c r="D42" s="12"/>
      <c r="E42" s="31">
        <v>1998</v>
      </c>
      <c r="F42" s="23" t="s">
        <v>20</v>
      </c>
      <c r="G42" s="53"/>
      <c r="H42" s="52">
        <v>21.8</v>
      </c>
      <c r="I42" s="12"/>
      <c r="J42" s="33"/>
      <c r="K42" s="12"/>
      <c r="L42" s="12"/>
      <c r="M42" s="28">
        <f t="shared" si="0"/>
        <v>3</v>
      </c>
      <c r="N42" s="10">
        <f>M42+60</f>
        <v>63</v>
      </c>
      <c r="P42" s="50">
        <f t="shared" si="1"/>
        <v>0</v>
      </c>
    </row>
    <row r="43" spans="1:16" ht="12" customHeight="1">
      <c r="A43" s="77">
        <f t="shared" si="2"/>
        <v>31</v>
      </c>
      <c r="B43" s="33" t="s">
        <v>25</v>
      </c>
      <c r="C43" s="51" t="s">
        <v>24</v>
      </c>
      <c r="D43" s="12"/>
      <c r="E43" s="31">
        <v>2000</v>
      </c>
      <c r="F43" s="23" t="s">
        <v>20</v>
      </c>
      <c r="G43" s="53"/>
      <c r="H43" s="52">
        <v>21.5</v>
      </c>
      <c r="I43" s="12"/>
      <c r="J43" s="33"/>
      <c r="K43" s="79"/>
      <c r="L43" s="12"/>
      <c r="M43" s="28" t="b">
        <f t="shared" si="0"/>
        <v>0</v>
      </c>
      <c r="N43" s="28">
        <f>M43+10</f>
        <v>10</v>
      </c>
      <c r="P43" s="50">
        <f t="shared" si="1"/>
        <v>1</v>
      </c>
    </row>
    <row r="44" spans="1:16" ht="12" customHeight="1">
      <c r="A44" s="77">
        <f t="shared" si="2"/>
        <v>32</v>
      </c>
      <c r="B44" s="18" t="s">
        <v>35</v>
      </c>
      <c r="C44" s="51" t="s">
        <v>80</v>
      </c>
      <c r="D44" s="12"/>
      <c r="E44" s="31">
        <v>1996</v>
      </c>
      <c r="F44" s="23" t="s">
        <v>20</v>
      </c>
      <c r="G44" s="53"/>
      <c r="H44" s="52">
        <v>20.399999999999999</v>
      </c>
      <c r="I44" s="12"/>
      <c r="J44" s="33"/>
      <c r="K44" s="12"/>
      <c r="L44" s="12"/>
      <c r="M44" s="28" t="b">
        <f t="shared" si="0"/>
        <v>0</v>
      </c>
      <c r="N44" s="28">
        <f>M44+20</f>
        <v>20</v>
      </c>
      <c r="P44" s="50">
        <f t="shared" si="1"/>
        <v>2</v>
      </c>
    </row>
    <row r="45" spans="1:16" ht="12" customHeight="1">
      <c r="A45" s="77">
        <f t="shared" si="2"/>
        <v>33</v>
      </c>
      <c r="B45" s="33" t="s">
        <v>1</v>
      </c>
      <c r="C45" s="51" t="s">
        <v>33</v>
      </c>
      <c r="D45" s="12"/>
      <c r="E45" s="31">
        <v>2001</v>
      </c>
      <c r="F45" s="23" t="s">
        <v>20</v>
      </c>
      <c r="G45" s="53"/>
      <c r="H45" s="52">
        <v>20</v>
      </c>
      <c r="I45" s="12"/>
      <c r="J45" s="33"/>
      <c r="K45" s="12"/>
      <c r="L45" s="12"/>
      <c r="M45" s="28" t="b">
        <f t="shared" si="0"/>
        <v>0</v>
      </c>
      <c r="N45" s="10">
        <f>M45+30</f>
        <v>30</v>
      </c>
      <c r="P45" s="50">
        <f t="shared" si="1"/>
        <v>3</v>
      </c>
    </row>
    <row r="46" spans="1:16" ht="12" customHeight="1">
      <c r="A46" s="77">
        <f t="shared" si="2"/>
        <v>34</v>
      </c>
      <c r="B46" s="33" t="s">
        <v>29</v>
      </c>
      <c r="C46" s="51" t="s">
        <v>48</v>
      </c>
      <c r="D46" s="12"/>
      <c r="E46" s="31">
        <v>2004</v>
      </c>
      <c r="F46" s="23" t="s">
        <v>20</v>
      </c>
      <c r="G46" s="53"/>
      <c r="H46" s="52">
        <v>18.7</v>
      </c>
      <c r="I46" s="12"/>
      <c r="J46" s="33"/>
      <c r="K46" s="12"/>
      <c r="L46" s="12"/>
      <c r="M46" s="28" t="b">
        <f t="shared" si="0"/>
        <v>0</v>
      </c>
      <c r="N46" s="10">
        <f>M46+40</f>
        <v>40</v>
      </c>
      <c r="P46" s="50">
        <f t="shared" si="1"/>
        <v>4</v>
      </c>
    </row>
    <row r="47" spans="1:16" ht="12" customHeight="1">
      <c r="A47" s="77">
        <f t="shared" si="2"/>
        <v>35</v>
      </c>
      <c r="B47" s="33" t="s">
        <v>29</v>
      </c>
      <c r="C47" s="51" t="s">
        <v>47</v>
      </c>
      <c r="D47" s="12"/>
      <c r="E47" s="31">
        <v>2002</v>
      </c>
      <c r="F47" s="23" t="s">
        <v>20</v>
      </c>
      <c r="G47" s="53"/>
      <c r="H47" s="52">
        <v>18.600000000000001</v>
      </c>
      <c r="I47" s="12"/>
      <c r="J47" s="33"/>
      <c r="K47" s="12"/>
      <c r="L47" s="12"/>
      <c r="M47" s="28" t="b">
        <f t="shared" si="0"/>
        <v>0</v>
      </c>
      <c r="N47" s="10">
        <f>M47+50</f>
        <v>50</v>
      </c>
      <c r="P47" s="50">
        <f t="shared" si="1"/>
        <v>5</v>
      </c>
    </row>
    <row r="48" spans="1:16" ht="12" customHeight="1">
      <c r="A48" s="77">
        <f t="shared" si="2"/>
        <v>36</v>
      </c>
      <c r="B48" s="33" t="s">
        <v>1</v>
      </c>
      <c r="C48" s="51" t="s">
        <v>32</v>
      </c>
      <c r="D48" s="12"/>
      <c r="E48" s="31">
        <v>2000</v>
      </c>
      <c r="F48" s="23" t="s">
        <v>20</v>
      </c>
      <c r="G48" s="53"/>
      <c r="H48" s="52">
        <v>18.5</v>
      </c>
      <c r="I48" s="12"/>
      <c r="J48" s="33"/>
      <c r="K48" s="12"/>
      <c r="L48" s="12"/>
      <c r="M48" s="28" t="b">
        <f t="shared" si="0"/>
        <v>0</v>
      </c>
      <c r="N48" s="10">
        <f>M48+60</f>
        <v>60</v>
      </c>
      <c r="P48" s="50">
        <f t="shared" si="1"/>
        <v>6</v>
      </c>
    </row>
    <row r="49" spans="1:15" ht="12.75" customHeight="1">
      <c r="A49" s="1"/>
      <c r="B49" s="4"/>
      <c r="C49" s="2"/>
      <c r="D49" s="2"/>
      <c r="E49" s="3"/>
      <c r="F49" s="2"/>
      <c r="G49" s="2"/>
      <c r="H49" s="58"/>
      <c r="I49" s="58"/>
      <c r="J49" s="3"/>
      <c r="K49" s="5"/>
      <c r="L49" s="60"/>
      <c r="M49" s="59"/>
      <c r="N49" s="59"/>
    </row>
    <row r="50" spans="1:15" ht="12.75" customHeight="1">
      <c r="A50" s="1"/>
      <c r="B50" s="75" t="s">
        <v>102</v>
      </c>
      <c r="C50" s="2"/>
      <c r="D50" s="2"/>
      <c r="E50" s="3"/>
      <c r="F50" s="2"/>
      <c r="G50" s="2"/>
      <c r="H50" s="58"/>
      <c r="I50" s="58"/>
      <c r="J50" s="3"/>
      <c r="K50" s="5"/>
      <c r="L50" s="60"/>
      <c r="M50" s="59"/>
      <c r="N50" s="59"/>
    </row>
    <row r="51" spans="1:15" s="520" customFormat="1" ht="15" customHeight="1">
      <c r="A51" s="73"/>
      <c r="C51" s="519"/>
      <c r="D51" s="522" t="s">
        <v>58</v>
      </c>
      <c r="E51" s="523">
        <f>INT(A92/10)</f>
        <v>0</v>
      </c>
      <c r="F51" s="17"/>
      <c r="G51" s="17"/>
      <c r="H51" s="521"/>
      <c r="I51" s="30"/>
      <c r="J51" s="17"/>
      <c r="K51" s="61"/>
      <c r="L51" s="74"/>
      <c r="M51" s="18" t="s">
        <v>100</v>
      </c>
      <c r="N51" s="18" t="s">
        <v>101</v>
      </c>
    </row>
    <row r="52" spans="1:15" ht="15" customHeight="1">
      <c r="A52" s="73">
        <v>1</v>
      </c>
      <c r="B52" s="18"/>
      <c r="C52" s="46"/>
      <c r="D52" s="47"/>
      <c r="E52" s="28"/>
      <c r="F52" s="47"/>
      <c r="G52" s="47"/>
      <c r="H52" s="48"/>
      <c r="I52" s="24"/>
      <c r="J52" s="47"/>
      <c r="K52" s="61"/>
      <c r="L52" s="74"/>
      <c r="M52" s="28">
        <f t="shared" ref="M52:M91" si="3">IF($A52/$M$7&lt;=1,8,IF($A52/$M$7&lt;=2,1,IF($A52/$M$7&lt;=3,7,IF($A52/$M$7&lt;=4,2,IF($A52/$M$7&lt;=5,6,IF($A52/$M$7&lt;=6,3,IF($A52/$M$7&lt;=7,5,IF($A52/$M$7&lt;=8,4))))))))</f>
        <v>8</v>
      </c>
      <c r="N52" s="28">
        <f>M52+10</f>
        <v>18</v>
      </c>
    </row>
    <row r="53" spans="1:15" ht="15" customHeight="1">
      <c r="A53" s="77">
        <f>A52+1</f>
        <v>2</v>
      </c>
      <c r="B53" s="18"/>
      <c r="C53" s="46"/>
      <c r="D53" s="78"/>
      <c r="E53" s="28"/>
      <c r="F53" s="47"/>
      <c r="G53" s="47"/>
      <c r="H53" s="48"/>
      <c r="I53" s="24"/>
      <c r="J53" s="47"/>
      <c r="K53" s="61"/>
      <c r="L53" s="74"/>
      <c r="M53" s="28">
        <f t="shared" si="3"/>
        <v>8</v>
      </c>
      <c r="N53" s="28">
        <f>M53+20</f>
        <v>28</v>
      </c>
    </row>
    <row r="54" spans="1:15" ht="15" customHeight="1">
      <c r="A54" s="77">
        <f t="shared" ref="A54:A91" si="4">A53+1</f>
        <v>3</v>
      </c>
      <c r="B54" s="18"/>
      <c r="C54" s="46"/>
      <c r="D54" s="78"/>
      <c r="E54" s="28"/>
      <c r="F54" s="47"/>
      <c r="G54" s="47"/>
      <c r="H54" s="48"/>
      <c r="I54" s="24"/>
      <c r="J54" s="47"/>
      <c r="K54" s="61"/>
      <c r="L54" s="74"/>
      <c r="M54" s="28">
        <f t="shared" si="3"/>
        <v>8</v>
      </c>
      <c r="N54" s="28">
        <f>M54+30</f>
        <v>38</v>
      </c>
    </row>
    <row r="55" spans="1:15" ht="15" customHeight="1">
      <c r="A55" s="77">
        <f t="shared" si="4"/>
        <v>4</v>
      </c>
      <c r="B55" s="18"/>
      <c r="C55" s="46"/>
      <c r="D55" s="78"/>
      <c r="E55" s="28"/>
      <c r="F55" s="47"/>
      <c r="G55" s="47"/>
      <c r="H55" s="48"/>
      <c r="I55" s="24"/>
      <c r="J55" s="47"/>
      <c r="K55" s="61"/>
      <c r="L55" s="74"/>
      <c r="M55" s="28">
        <f t="shared" si="3"/>
        <v>8</v>
      </c>
      <c r="N55" s="28">
        <f>M55+40</f>
        <v>48</v>
      </c>
    </row>
    <row r="56" spans="1:15" ht="15" customHeight="1">
      <c r="A56" s="77">
        <f t="shared" si="4"/>
        <v>5</v>
      </c>
      <c r="B56" s="18"/>
      <c r="C56" s="46"/>
      <c r="D56" s="78"/>
      <c r="E56" s="28"/>
      <c r="F56" s="47"/>
      <c r="G56" s="47"/>
      <c r="H56" s="48"/>
      <c r="I56" s="24"/>
      <c r="J56" s="47"/>
      <c r="K56" s="61"/>
      <c r="L56" s="74"/>
      <c r="M56" s="28">
        <f t="shared" si="3"/>
        <v>8</v>
      </c>
      <c r="N56" s="28">
        <f>M56+50</f>
        <v>58</v>
      </c>
    </row>
    <row r="57" spans="1:15" ht="15" customHeight="1">
      <c r="A57" s="77">
        <f t="shared" si="4"/>
        <v>6</v>
      </c>
      <c r="B57" s="18"/>
      <c r="C57" s="46"/>
      <c r="D57" s="78"/>
      <c r="E57" s="28"/>
      <c r="F57" s="47"/>
      <c r="G57" s="47"/>
      <c r="H57" s="48"/>
      <c r="I57" s="24"/>
      <c r="J57" s="47"/>
      <c r="K57" s="61"/>
      <c r="L57" s="74"/>
      <c r="M57" s="28">
        <f t="shared" si="3"/>
        <v>1</v>
      </c>
      <c r="N57" s="28">
        <f>M57+10</f>
        <v>11</v>
      </c>
      <c r="O57" t="s">
        <v>271</v>
      </c>
    </row>
    <row r="58" spans="1:15" ht="12" customHeight="1">
      <c r="A58" s="77">
        <f t="shared" si="4"/>
        <v>7</v>
      </c>
      <c r="B58" s="33" t="s">
        <v>29</v>
      </c>
      <c r="C58" s="51" t="s">
        <v>28</v>
      </c>
      <c r="D58" s="12"/>
      <c r="E58" s="31">
        <v>2002</v>
      </c>
      <c r="F58" s="23" t="s">
        <v>20</v>
      </c>
      <c r="G58" s="53"/>
      <c r="H58" s="52">
        <v>30</v>
      </c>
      <c r="I58" s="12"/>
      <c r="J58" s="33"/>
      <c r="K58" s="12"/>
      <c r="L58" s="12"/>
      <c r="M58" s="28">
        <f t="shared" si="3"/>
        <v>1</v>
      </c>
      <c r="N58" s="28">
        <f>M58+20</f>
        <v>21</v>
      </c>
    </row>
    <row r="59" spans="1:15" ht="12" customHeight="1">
      <c r="A59" s="77">
        <f t="shared" si="4"/>
        <v>8</v>
      </c>
      <c r="B59" s="18" t="s">
        <v>35</v>
      </c>
      <c r="C59" s="51" t="s">
        <v>34</v>
      </c>
      <c r="D59" s="12"/>
      <c r="E59" s="31">
        <v>2002</v>
      </c>
      <c r="F59" s="23" t="s">
        <v>20</v>
      </c>
      <c r="G59" s="53"/>
      <c r="H59" s="52">
        <v>30</v>
      </c>
      <c r="I59" s="12"/>
      <c r="J59" s="33"/>
      <c r="K59" s="12"/>
      <c r="L59" s="12"/>
      <c r="M59" s="28">
        <f t="shared" si="3"/>
        <v>1</v>
      </c>
      <c r="N59" s="28">
        <f>M59+30</f>
        <v>31</v>
      </c>
    </row>
    <row r="60" spans="1:15" ht="12" customHeight="1">
      <c r="A60" s="77">
        <f t="shared" si="4"/>
        <v>9</v>
      </c>
      <c r="B60" s="18" t="s">
        <v>10</v>
      </c>
      <c r="C60" s="51" t="s">
        <v>36</v>
      </c>
      <c r="D60" s="12"/>
      <c r="E60" s="31">
        <v>1998</v>
      </c>
      <c r="F60" s="23" t="s">
        <v>20</v>
      </c>
      <c r="G60" s="53"/>
      <c r="H60" s="52">
        <v>30</v>
      </c>
      <c r="I60" s="12"/>
      <c r="J60" s="33"/>
      <c r="K60" s="12"/>
      <c r="L60" s="12"/>
      <c r="M60" s="28">
        <f t="shared" si="3"/>
        <v>1</v>
      </c>
      <c r="N60" s="28">
        <f>M60+40</f>
        <v>41</v>
      </c>
    </row>
    <row r="61" spans="1:15" ht="12" customHeight="1">
      <c r="A61" s="77">
        <f t="shared" si="4"/>
        <v>10</v>
      </c>
      <c r="B61" s="33" t="s">
        <v>1</v>
      </c>
      <c r="C61" s="51" t="s">
        <v>40</v>
      </c>
      <c r="D61" s="12"/>
      <c r="E61" s="31">
        <v>2002</v>
      </c>
      <c r="F61" s="23" t="s">
        <v>20</v>
      </c>
      <c r="G61" s="53"/>
      <c r="H61" s="52">
        <v>30</v>
      </c>
      <c r="I61" s="12"/>
      <c r="J61" s="33"/>
      <c r="K61" s="12"/>
      <c r="L61" s="12"/>
      <c r="M61" s="28">
        <f t="shared" si="3"/>
        <v>1</v>
      </c>
      <c r="N61" s="28">
        <f>M61+50</f>
        <v>51</v>
      </c>
    </row>
    <row r="62" spans="1:15" ht="12" customHeight="1">
      <c r="A62" s="77">
        <f t="shared" si="4"/>
        <v>11</v>
      </c>
      <c r="B62" s="33" t="s">
        <v>27</v>
      </c>
      <c r="C62" s="51" t="s">
        <v>46</v>
      </c>
      <c r="D62" s="12"/>
      <c r="E62" s="31">
        <v>2001</v>
      </c>
      <c r="F62" s="23" t="s">
        <v>20</v>
      </c>
      <c r="G62" s="53"/>
      <c r="H62" s="52">
        <v>30</v>
      </c>
      <c r="I62" s="12"/>
      <c r="J62" s="33"/>
      <c r="K62" s="12"/>
      <c r="L62" s="12"/>
      <c r="M62" s="28">
        <f t="shared" si="3"/>
        <v>7</v>
      </c>
      <c r="N62" s="28">
        <f>M62+10</f>
        <v>17</v>
      </c>
    </row>
    <row r="63" spans="1:15" ht="12" customHeight="1">
      <c r="A63" s="77">
        <f t="shared" si="4"/>
        <v>12</v>
      </c>
      <c r="B63" s="33" t="s">
        <v>29</v>
      </c>
      <c r="C63" s="51" t="s">
        <v>50</v>
      </c>
      <c r="D63" s="12"/>
      <c r="E63" s="31">
        <v>2006</v>
      </c>
      <c r="F63" s="23" t="s">
        <v>20</v>
      </c>
      <c r="G63" s="53"/>
      <c r="H63" s="52">
        <v>30</v>
      </c>
      <c r="I63" s="12"/>
      <c r="J63" s="33"/>
      <c r="K63" s="12"/>
      <c r="L63" s="12"/>
      <c r="M63" s="28">
        <f t="shared" si="3"/>
        <v>7</v>
      </c>
      <c r="N63" s="28">
        <f>M63+20</f>
        <v>27</v>
      </c>
    </row>
    <row r="64" spans="1:15" ht="12" customHeight="1">
      <c r="A64" s="77">
        <f t="shared" si="4"/>
        <v>13</v>
      </c>
      <c r="B64" s="18" t="s">
        <v>35</v>
      </c>
      <c r="C64" s="51" t="s">
        <v>77</v>
      </c>
      <c r="D64" s="12"/>
      <c r="E64" s="31">
        <v>2001</v>
      </c>
      <c r="F64" s="23" t="s">
        <v>20</v>
      </c>
      <c r="G64" s="53"/>
      <c r="H64" s="52">
        <v>30</v>
      </c>
      <c r="I64" s="12"/>
      <c r="J64" s="33"/>
      <c r="K64" s="12"/>
      <c r="L64" s="12"/>
      <c r="M64" s="28">
        <f t="shared" si="3"/>
        <v>7</v>
      </c>
      <c r="N64" s="28">
        <f>M64+30</f>
        <v>37</v>
      </c>
    </row>
    <row r="65" spans="1:14" ht="12" customHeight="1">
      <c r="A65" s="77">
        <f t="shared" si="4"/>
        <v>14</v>
      </c>
      <c r="B65" s="33" t="s">
        <v>27</v>
      </c>
      <c r="C65" s="51" t="s">
        <v>26</v>
      </c>
      <c r="D65" s="12"/>
      <c r="E65" s="31">
        <v>2001</v>
      </c>
      <c r="F65" s="23" t="s">
        <v>20</v>
      </c>
      <c r="G65" s="53"/>
      <c r="H65" s="52">
        <v>29.8</v>
      </c>
      <c r="I65" s="12"/>
      <c r="J65" s="33"/>
      <c r="K65" s="12"/>
      <c r="L65" s="12"/>
      <c r="M65" s="28">
        <f t="shared" si="3"/>
        <v>7</v>
      </c>
      <c r="N65" s="28">
        <f>M65+40</f>
        <v>47</v>
      </c>
    </row>
    <row r="66" spans="1:14" ht="12" customHeight="1">
      <c r="A66" s="77">
        <f t="shared" si="4"/>
        <v>15</v>
      </c>
      <c r="B66" s="33" t="s">
        <v>25</v>
      </c>
      <c r="C66" s="51" t="s">
        <v>38</v>
      </c>
      <c r="D66" s="12"/>
      <c r="E66" s="31">
        <v>2000</v>
      </c>
      <c r="F66" s="23" t="s">
        <v>20</v>
      </c>
      <c r="G66" s="53"/>
      <c r="H66" s="52">
        <v>29.8</v>
      </c>
      <c r="I66" s="12"/>
      <c r="J66" s="33"/>
      <c r="K66" s="12"/>
      <c r="L66" s="12"/>
      <c r="M66" s="28">
        <f t="shared" si="3"/>
        <v>7</v>
      </c>
      <c r="N66" s="28">
        <f>M66+50</f>
        <v>57</v>
      </c>
    </row>
    <row r="67" spans="1:14" ht="12" customHeight="1">
      <c r="A67" s="77">
        <f t="shared" si="4"/>
        <v>16</v>
      </c>
      <c r="B67" s="33" t="s">
        <v>27</v>
      </c>
      <c r="C67" s="51" t="s">
        <v>39</v>
      </c>
      <c r="D67" s="12"/>
      <c r="E67" s="31">
        <v>2001</v>
      </c>
      <c r="F67" s="23" t="s">
        <v>20</v>
      </c>
      <c r="G67" s="53"/>
      <c r="H67" s="52">
        <v>29.8</v>
      </c>
      <c r="I67" s="12"/>
      <c r="J67" s="33"/>
      <c r="K67" s="12"/>
      <c r="L67" s="12"/>
      <c r="M67" s="28">
        <f t="shared" si="3"/>
        <v>2</v>
      </c>
      <c r="N67" s="28">
        <f>M67+10</f>
        <v>12</v>
      </c>
    </row>
    <row r="68" spans="1:14" ht="12" customHeight="1">
      <c r="A68" s="77">
        <f t="shared" si="4"/>
        <v>17</v>
      </c>
      <c r="B68" s="33" t="s">
        <v>25</v>
      </c>
      <c r="C68" s="51" t="s">
        <v>45</v>
      </c>
      <c r="D68" s="12"/>
      <c r="E68" s="31">
        <v>2000</v>
      </c>
      <c r="F68" s="23" t="s">
        <v>20</v>
      </c>
      <c r="G68" s="53"/>
      <c r="H68" s="52">
        <v>29.8</v>
      </c>
      <c r="I68" s="12"/>
      <c r="J68" s="33"/>
      <c r="K68" s="12"/>
      <c r="L68" s="12"/>
      <c r="M68" s="28">
        <f t="shared" si="3"/>
        <v>2</v>
      </c>
      <c r="N68" s="28">
        <f>M68+20</f>
        <v>22</v>
      </c>
    </row>
    <row r="69" spans="1:14" ht="12" customHeight="1">
      <c r="A69" s="77">
        <f t="shared" si="4"/>
        <v>18</v>
      </c>
      <c r="B69" s="33" t="s">
        <v>29</v>
      </c>
      <c r="C69" s="51" t="s">
        <v>49</v>
      </c>
      <c r="D69" s="12"/>
      <c r="E69" s="31">
        <v>2005</v>
      </c>
      <c r="F69" s="23" t="s">
        <v>20</v>
      </c>
      <c r="G69" s="53"/>
      <c r="H69" s="52">
        <v>29.8</v>
      </c>
      <c r="I69" s="12"/>
      <c r="J69" s="33"/>
      <c r="K69" s="12"/>
      <c r="L69" s="12"/>
      <c r="M69" s="28">
        <f t="shared" si="3"/>
        <v>2</v>
      </c>
      <c r="N69" s="28">
        <f>M69+30</f>
        <v>32</v>
      </c>
    </row>
    <row r="70" spans="1:14" ht="12" customHeight="1">
      <c r="A70" s="77">
        <f t="shared" si="4"/>
        <v>19</v>
      </c>
      <c r="B70" s="18" t="s">
        <v>11</v>
      </c>
      <c r="C70" s="51" t="s">
        <v>73</v>
      </c>
      <c r="D70" s="12"/>
      <c r="E70" s="31">
        <v>2000</v>
      </c>
      <c r="F70" s="23" t="s">
        <v>20</v>
      </c>
      <c r="G70" s="53"/>
      <c r="H70" s="52">
        <v>29.8</v>
      </c>
      <c r="I70" s="12"/>
      <c r="J70" s="33"/>
      <c r="K70" s="12"/>
      <c r="L70" s="12"/>
      <c r="M70" s="28">
        <f t="shared" si="3"/>
        <v>2</v>
      </c>
      <c r="N70" s="28">
        <f>M70+40</f>
        <v>42</v>
      </c>
    </row>
    <row r="71" spans="1:14" ht="12" customHeight="1">
      <c r="A71" s="77">
        <f t="shared" si="4"/>
        <v>20</v>
      </c>
      <c r="B71" s="33" t="s">
        <v>23</v>
      </c>
      <c r="C71" s="51" t="s">
        <v>44</v>
      </c>
      <c r="D71" s="12"/>
      <c r="E71" s="31">
        <v>1999</v>
      </c>
      <c r="F71" s="23" t="s">
        <v>20</v>
      </c>
      <c r="G71" s="53"/>
      <c r="H71" s="52">
        <v>29.7</v>
      </c>
      <c r="I71" s="12"/>
      <c r="J71" s="33"/>
      <c r="K71" s="12" t="s">
        <v>12</v>
      </c>
      <c r="L71" s="12"/>
      <c r="M71" s="28">
        <f t="shared" si="3"/>
        <v>2</v>
      </c>
      <c r="N71" s="28">
        <f>M71+50</f>
        <v>52</v>
      </c>
    </row>
    <row r="72" spans="1:14" ht="12" customHeight="1">
      <c r="A72" s="77">
        <f t="shared" si="4"/>
        <v>21</v>
      </c>
      <c r="B72" s="18" t="s">
        <v>10</v>
      </c>
      <c r="C72" s="51" t="s">
        <v>75</v>
      </c>
      <c r="D72" s="12"/>
      <c r="E72" s="31">
        <v>1999</v>
      </c>
      <c r="F72" s="23" t="s">
        <v>20</v>
      </c>
      <c r="G72" s="53"/>
      <c r="H72" s="52">
        <v>29.7</v>
      </c>
      <c r="I72" s="12"/>
      <c r="J72" s="33"/>
      <c r="K72" s="12" t="s">
        <v>12</v>
      </c>
      <c r="L72" s="12"/>
      <c r="M72" s="28">
        <f t="shared" si="3"/>
        <v>6</v>
      </c>
      <c r="N72" s="28">
        <f>M72+10</f>
        <v>16</v>
      </c>
    </row>
    <row r="73" spans="1:14" ht="12" customHeight="1">
      <c r="A73" s="77">
        <f t="shared" si="4"/>
        <v>22</v>
      </c>
      <c r="B73" s="33" t="s">
        <v>23</v>
      </c>
      <c r="C73" s="51" t="s">
        <v>22</v>
      </c>
      <c r="D73" s="12"/>
      <c r="E73" s="31">
        <v>1999</v>
      </c>
      <c r="F73" s="23" t="s">
        <v>20</v>
      </c>
      <c r="G73" s="53"/>
      <c r="H73" s="52">
        <v>29.5</v>
      </c>
      <c r="I73" s="12"/>
      <c r="J73" s="33"/>
      <c r="K73" s="79"/>
      <c r="L73" s="12"/>
      <c r="M73" s="28">
        <f t="shared" si="3"/>
        <v>6</v>
      </c>
      <c r="N73" s="28">
        <f>M73+20</f>
        <v>26</v>
      </c>
    </row>
    <row r="74" spans="1:14" ht="12" customHeight="1">
      <c r="A74" s="77">
        <f t="shared" si="4"/>
        <v>23</v>
      </c>
      <c r="B74" s="18" t="s">
        <v>11</v>
      </c>
      <c r="C74" s="51" t="s">
        <v>37</v>
      </c>
      <c r="D74" s="12"/>
      <c r="E74" s="31">
        <v>1999</v>
      </c>
      <c r="F74" s="23" t="s">
        <v>20</v>
      </c>
      <c r="G74" s="53"/>
      <c r="H74" s="52">
        <v>29.5</v>
      </c>
      <c r="I74" s="12"/>
      <c r="J74" s="33"/>
      <c r="K74" s="12"/>
      <c r="L74" s="12"/>
      <c r="M74" s="28">
        <f t="shared" si="3"/>
        <v>6</v>
      </c>
      <c r="N74" s="28">
        <f>M74+30</f>
        <v>36</v>
      </c>
    </row>
    <row r="75" spans="1:14" ht="12" customHeight="1">
      <c r="A75" s="77">
        <f t="shared" si="4"/>
        <v>24</v>
      </c>
      <c r="B75" s="33" t="s">
        <v>13</v>
      </c>
      <c r="C75" s="51" t="s">
        <v>43</v>
      </c>
      <c r="D75" s="12"/>
      <c r="E75" s="31">
        <v>1998</v>
      </c>
      <c r="F75" s="23" t="s">
        <v>20</v>
      </c>
      <c r="G75" s="53"/>
      <c r="H75" s="52">
        <v>29.5</v>
      </c>
      <c r="I75" s="12"/>
      <c r="J75" s="33"/>
      <c r="K75" s="12"/>
      <c r="L75" s="12"/>
      <c r="M75" s="28">
        <f t="shared" si="3"/>
        <v>6</v>
      </c>
      <c r="N75" s="28">
        <f>M75+40</f>
        <v>46</v>
      </c>
    </row>
    <row r="76" spans="1:14" ht="12" customHeight="1">
      <c r="A76" s="77">
        <f t="shared" si="4"/>
        <v>25</v>
      </c>
      <c r="B76" s="33" t="s">
        <v>29</v>
      </c>
      <c r="C76" s="51" t="s">
        <v>52</v>
      </c>
      <c r="D76" s="12"/>
      <c r="E76" s="31">
        <v>2008</v>
      </c>
      <c r="F76" s="23" t="s">
        <v>20</v>
      </c>
      <c r="G76" s="53"/>
      <c r="H76" s="52">
        <v>29.5</v>
      </c>
      <c r="I76" s="12"/>
      <c r="J76" s="33"/>
      <c r="K76" s="12"/>
      <c r="L76" s="12"/>
      <c r="M76" s="28">
        <f t="shared" si="3"/>
        <v>6</v>
      </c>
      <c r="N76" s="28">
        <f>M76+50</f>
        <v>56</v>
      </c>
    </row>
    <row r="77" spans="1:14" ht="12" customHeight="1">
      <c r="A77" s="77">
        <f t="shared" si="4"/>
        <v>26</v>
      </c>
      <c r="B77" s="33" t="s">
        <v>13</v>
      </c>
      <c r="C77" s="51" t="s">
        <v>41</v>
      </c>
      <c r="D77" s="12"/>
      <c r="E77" s="31">
        <v>2003</v>
      </c>
      <c r="F77" s="23" t="s">
        <v>20</v>
      </c>
      <c r="G77" s="53"/>
      <c r="H77" s="52">
        <v>27.5</v>
      </c>
      <c r="I77" s="12"/>
      <c r="J77" s="33"/>
      <c r="K77" s="12"/>
      <c r="L77" s="12"/>
      <c r="M77" s="28">
        <f t="shared" si="3"/>
        <v>3</v>
      </c>
      <c r="N77" s="28">
        <f>M77+10</f>
        <v>13</v>
      </c>
    </row>
    <row r="78" spans="1:14" ht="12" customHeight="1">
      <c r="A78" s="77">
        <f t="shared" si="4"/>
        <v>27</v>
      </c>
      <c r="B78" s="18" t="s">
        <v>11</v>
      </c>
      <c r="C78" s="51" t="s">
        <v>42</v>
      </c>
      <c r="D78" s="12"/>
      <c r="E78" s="31">
        <v>1996</v>
      </c>
      <c r="F78" s="23" t="s">
        <v>20</v>
      </c>
      <c r="G78" s="53"/>
      <c r="H78" s="52">
        <v>27.5</v>
      </c>
      <c r="I78" s="12"/>
      <c r="J78" s="33"/>
      <c r="K78" s="12"/>
      <c r="L78" s="12"/>
      <c r="M78" s="28">
        <f t="shared" si="3"/>
        <v>3</v>
      </c>
      <c r="N78" s="28">
        <f>M78+20</f>
        <v>23</v>
      </c>
    </row>
    <row r="79" spans="1:14" ht="12" customHeight="1">
      <c r="A79" s="77">
        <f t="shared" si="4"/>
        <v>28</v>
      </c>
      <c r="B79" s="18" t="s">
        <v>10</v>
      </c>
      <c r="C79" s="51" t="s">
        <v>19</v>
      </c>
      <c r="D79" s="12"/>
      <c r="E79" s="31">
        <v>2000</v>
      </c>
      <c r="F79" s="23" t="s">
        <v>20</v>
      </c>
      <c r="G79" s="53"/>
      <c r="H79" s="52">
        <v>26.9</v>
      </c>
      <c r="I79" s="12"/>
      <c r="J79" s="33"/>
      <c r="K79" s="79"/>
      <c r="L79" s="12"/>
      <c r="M79" s="28">
        <f t="shared" si="3"/>
        <v>3</v>
      </c>
      <c r="N79" s="28">
        <f>M79+30</f>
        <v>33</v>
      </c>
    </row>
    <row r="80" spans="1:14" ht="12" customHeight="1">
      <c r="A80" s="77">
        <f t="shared" si="4"/>
        <v>29</v>
      </c>
      <c r="B80" s="33" t="s">
        <v>1</v>
      </c>
      <c r="C80" s="51" t="s">
        <v>21</v>
      </c>
      <c r="D80" s="12"/>
      <c r="E80" s="31">
        <v>1998</v>
      </c>
      <c r="F80" s="23" t="s">
        <v>20</v>
      </c>
      <c r="G80" s="53"/>
      <c r="H80" s="52">
        <v>25.2</v>
      </c>
      <c r="I80" s="12"/>
      <c r="J80" s="33"/>
      <c r="K80" s="79"/>
      <c r="L80" s="12"/>
      <c r="M80" s="28">
        <f t="shared" si="3"/>
        <v>3</v>
      </c>
      <c r="N80" s="28">
        <f>M80+40</f>
        <v>43</v>
      </c>
    </row>
    <row r="81" spans="1:14" ht="12" customHeight="1">
      <c r="A81" s="77">
        <f t="shared" si="4"/>
        <v>30</v>
      </c>
      <c r="B81" s="18" t="s">
        <v>10</v>
      </c>
      <c r="C81" s="51" t="s">
        <v>71</v>
      </c>
      <c r="D81" s="12"/>
      <c r="E81" s="31">
        <v>2006</v>
      </c>
      <c r="F81" s="23" t="s">
        <v>20</v>
      </c>
      <c r="G81" s="53"/>
      <c r="H81" s="52">
        <v>23.2</v>
      </c>
      <c r="I81" s="12"/>
      <c r="J81" s="12"/>
      <c r="K81" s="12"/>
      <c r="L81" s="12"/>
      <c r="M81" s="28">
        <f t="shared" si="3"/>
        <v>3</v>
      </c>
      <c r="N81" s="28">
        <f>M81+50</f>
        <v>53</v>
      </c>
    </row>
    <row r="82" spans="1:14" ht="12" customHeight="1">
      <c r="A82" s="77">
        <f t="shared" si="4"/>
        <v>31</v>
      </c>
      <c r="B82" s="33" t="s">
        <v>14</v>
      </c>
      <c r="C82" s="51" t="s">
        <v>76</v>
      </c>
      <c r="D82" s="12"/>
      <c r="E82" s="31">
        <v>2002</v>
      </c>
      <c r="F82" s="23" t="s">
        <v>20</v>
      </c>
      <c r="G82" s="53"/>
      <c r="H82" s="52">
        <v>22.8</v>
      </c>
      <c r="I82" s="12"/>
      <c r="J82" s="33"/>
      <c r="K82" s="12"/>
      <c r="L82" s="12"/>
      <c r="M82" s="28">
        <f t="shared" si="3"/>
        <v>5</v>
      </c>
      <c r="N82" s="28">
        <f>M82+10</f>
        <v>15</v>
      </c>
    </row>
    <row r="83" spans="1:14" ht="12" customHeight="1">
      <c r="A83" s="77">
        <f t="shared" si="4"/>
        <v>32</v>
      </c>
      <c r="B83" s="33" t="s">
        <v>29</v>
      </c>
      <c r="C83" s="51" t="s">
        <v>51</v>
      </c>
      <c r="D83" s="12"/>
      <c r="E83" s="31">
        <v>2007</v>
      </c>
      <c r="F83" s="23" t="s">
        <v>20</v>
      </c>
      <c r="G83" s="53"/>
      <c r="H83" s="52">
        <v>22.5</v>
      </c>
      <c r="I83" s="12"/>
      <c r="J83" s="33"/>
      <c r="K83" s="12"/>
      <c r="L83" s="12"/>
      <c r="M83" s="28">
        <f t="shared" si="3"/>
        <v>5</v>
      </c>
      <c r="N83" s="28">
        <f>M83+20</f>
        <v>25</v>
      </c>
    </row>
    <row r="84" spans="1:14" ht="12" customHeight="1">
      <c r="A84" s="77">
        <f t="shared" si="4"/>
        <v>33</v>
      </c>
      <c r="B84" s="33" t="s">
        <v>1</v>
      </c>
      <c r="C84" s="51" t="s">
        <v>31</v>
      </c>
      <c r="D84" s="12"/>
      <c r="E84" s="31">
        <v>1999</v>
      </c>
      <c r="F84" s="23" t="s">
        <v>20</v>
      </c>
      <c r="G84" s="53"/>
      <c r="H84" s="52">
        <v>22.1</v>
      </c>
      <c r="I84" s="12"/>
      <c r="J84" s="33"/>
      <c r="K84" s="12"/>
      <c r="L84" s="12"/>
      <c r="M84" s="28">
        <f t="shared" si="3"/>
        <v>5</v>
      </c>
      <c r="N84" s="28">
        <f>M84+30</f>
        <v>35</v>
      </c>
    </row>
    <row r="85" spans="1:14" ht="12" customHeight="1">
      <c r="A85" s="77">
        <f t="shared" si="4"/>
        <v>34</v>
      </c>
      <c r="B85" s="33" t="s">
        <v>1</v>
      </c>
      <c r="C85" s="51" t="s">
        <v>30</v>
      </c>
      <c r="D85" s="12"/>
      <c r="E85" s="31">
        <v>1998</v>
      </c>
      <c r="F85" s="23" t="s">
        <v>20</v>
      </c>
      <c r="G85" s="53"/>
      <c r="H85" s="52">
        <v>21.8</v>
      </c>
      <c r="I85" s="12"/>
      <c r="J85" s="33"/>
      <c r="K85" s="12"/>
      <c r="L85" s="12"/>
      <c r="M85" s="28">
        <f t="shared" si="3"/>
        <v>5</v>
      </c>
      <c r="N85" s="28">
        <f>M85+40</f>
        <v>45</v>
      </c>
    </row>
    <row r="86" spans="1:14" ht="12" customHeight="1">
      <c r="A86" s="77">
        <f t="shared" si="4"/>
        <v>35</v>
      </c>
      <c r="B86" s="33" t="s">
        <v>25</v>
      </c>
      <c r="C86" s="51" t="s">
        <v>24</v>
      </c>
      <c r="D86" s="12"/>
      <c r="E86" s="31">
        <v>2000</v>
      </c>
      <c r="F86" s="23" t="s">
        <v>20</v>
      </c>
      <c r="G86" s="53"/>
      <c r="H86" s="52">
        <v>21.5</v>
      </c>
      <c r="I86" s="12"/>
      <c r="J86" s="33"/>
      <c r="K86" s="79"/>
      <c r="L86" s="12"/>
      <c r="M86" s="28">
        <f t="shared" si="3"/>
        <v>5</v>
      </c>
      <c r="N86" s="28">
        <f>M86+50</f>
        <v>55</v>
      </c>
    </row>
    <row r="87" spans="1:14" ht="12" customHeight="1">
      <c r="A87" s="77">
        <f t="shared" si="4"/>
        <v>36</v>
      </c>
      <c r="B87" s="18" t="s">
        <v>35</v>
      </c>
      <c r="C87" s="51" t="s">
        <v>80</v>
      </c>
      <c r="D87" s="12"/>
      <c r="E87" s="31">
        <v>1996</v>
      </c>
      <c r="F87" s="23" t="s">
        <v>20</v>
      </c>
      <c r="G87" s="53"/>
      <c r="H87" s="52">
        <v>20.399999999999999</v>
      </c>
      <c r="I87" s="12"/>
      <c r="J87" s="33"/>
      <c r="K87" s="12"/>
      <c r="L87" s="12"/>
      <c r="M87" s="28">
        <f t="shared" si="3"/>
        <v>4</v>
      </c>
      <c r="N87" s="28">
        <f>M87+10</f>
        <v>14</v>
      </c>
    </row>
    <row r="88" spans="1:14" ht="12" customHeight="1">
      <c r="A88" s="77">
        <f t="shared" si="4"/>
        <v>37</v>
      </c>
      <c r="B88" s="33" t="s">
        <v>1</v>
      </c>
      <c r="C88" s="51" t="s">
        <v>33</v>
      </c>
      <c r="D88" s="12"/>
      <c r="E88" s="31">
        <v>2001</v>
      </c>
      <c r="F88" s="23" t="s">
        <v>20</v>
      </c>
      <c r="G88" s="53"/>
      <c r="H88" s="52">
        <v>20</v>
      </c>
      <c r="I88" s="12"/>
      <c r="J88" s="33"/>
      <c r="K88" s="12"/>
      <c r="L88" s="12"/>
      <c r="M88" s="28">
        <f t="shared" si="3"/>
        <v>4</v>
      </c>
      <c r="N88" s="28">
        <f>M88+20</f>
        <v>24</v>
      </c>
    </row>
    <row r="89" spans="1:14" ht="12" customHeight="1">
      <c r="A89" s="77">
        <f t="shared" si="4"/>
        <v>38</v>
      </c>
      <c r="B89" s="33" t="s">
        <v>29</v>
      </c>
      <c r="C89" s="51" t="s">
        <v>48</v>
      </c>
      <c r="D89" s="12"/>
      <c r="E89" s="31">
        <v>2004</v>
      </c>
      <c r="F89" s="23" t="s">
        <v>20</v>
      </c>
      <c r="G89" s="53"/>
      <c r="H89" s="52">
        <v>18.7</v>
      </c>
      <c r="I89" s="12"/>
      <c r="J89" s="33"/>
      <c r="K89" s="12"/>
      <c r="L89" s="12"/>
      <c r="M89" s="28">
        <f t="shared" si="3"/>
        <v>4</v>
      </c>
      <c r="N89" s="28">
        <f>M89+30</f>
        <v>34</v>
      </c>
    </row>
    <row r="90" spans="1:14" ht="12" customHeight="1">
      <c r="A90" s="77">
        <f t="shared" si="4"/>
        <v>39</v>
      </c>
      <c r="B90" s="33" t="s">
        <v>29</v>
      </c>
      <c r="C90" s="51" t="s">
        <v>47</v>
      </c>
      <c r="D90" s="12"/>
      <c r="E90" s="31">
        <v>2002</v>
      </c>
      <c r="F90" s="23" t="s">
        <v>20</v>
      </c>
      <c r="G90" s="53"/>
      <c r="H90" s="52">
        <v>18.600000000000001</v>
      </c>
      <c r="I90" s="12"/>
      <c r="J90" s="33"/>
      <c r="K90" s="12"/>
      <c r="L90" s="12"/>
      <c r="M90" s="28">
        <f t="shared" si="3"/>
        <v>4</v>
      </c>
      <c r="N90" s="28">
        <f>M90+40</f>
        <v>44</v>
      </c>
    </row>
    <row r="91" spans="1:14" ht="12" customHeight="1">
      <c r="A91" s="77">
        <f t="shared" si="4"/>
        <v>40</v>
      </c>
      <c r="B91" s="33" t="s">
        <v>1</v>
      </c>
      <c r="C91" s="51" t="s">
        <v>32</v>
      </c>
      <c r="D91" s="12"/>
      <c r="E91" s="31">
        <v>2000</v>
      </c>
      <c r="F91" s="23" t="s">
        <v>20</v>
      </c>
      <c r="G91" s="53"/>
      <c r="H91" s="52">
        <v>18.5</v>
      </c>
      <c r="I91" s="12"/>
      <c r="J91" s="33"/>
      <c r="K91" s="12"/>
      <c r="L91" s="12"/>
      <c r="M91" s="28">
        <f t="shared" si="3"/>
        <v>4</v>
      </c>
      <c r="N91" s="28">
        <f>M91+50</f>
        <v>54</v>
      </c>
    </row>
  </sheetData>
  <mergeCells count="4">
    <mergeCell ref="C8:D8"/>
    <mergeCell ref="F8:G8"/>
    <mergeCell ref="H8:I8"/>
    <mergeCell ref="J8:K8"/>
  </mergeCells>
  <conditionalFormatting sqref="G51:H56 G13:H48 G58:H91">
    <cfRule type="expression" dxfId="160" priority="1">
      <formula>IF(ISNUMBER(G13),FALSE,IF(ISBLANK(G13),FALSE,TRUE))</formula>
    </cfRule>
    <cfRule type="expression" dxfId="159" priority="2">
      <formula>IF(INT(G13/10000)&gt;23,TRUE,IF(INT(MOD(G13,10000)/100)&gt;59.99,TRUE,IF(MOD(G13,100)&gt;59.99,TRUE,FALSE)))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Лист11"/>
  <dimension ref="A1:AMK36"/>
  <sheetViews>
    <sheetView zoomScale="55" zoomScaleNormal="55" workbookViewId="0">
      <selection activeCell="B28" sqref="B28:F28"/>
    </sheetView>
  </sheetViews>
  <sheetFormatPr defaultColWidth="9.14453125" defaultRowHeight="15"/>
  <cols>
    <col min="1" max="1" width="17.75390625" style="691" customWidth="1"/>
    <col min="2" max="2" width="11.8359375" style="691" customWidth="1"/>
    <col min="3" max="4" width="9.14453125" style="691"/>
    <col min="5" max="5" width="7.3984375" style="691" customWidth="1"/>
    <col min="6" max="6" width="35.91796875" style="691" customWidth="1"/>
    <col min="7" max="10" width="9.14453125" style="691"/>
    <col min="11" max="11" width="0.8046875" style="691" customWidth="1"/>
    <col min="12" max="1025" width="9.14453125" style="691"/>
    <col min="1026" max="16384" width="9.14453125" style="688"/>
  </cols>
  <sheetData>
    <row r="1" spans="1:1024" s="687" customFormat="1" ht="342" customHeight="1">
      <c r="A1" s="686"/>
      <c r="B1" s="686"/>
      <c r="C1" s="686"/>
      <c r="D1" s="686"/>
      <c r="E1" s="686"/>
      <c r="F1" s="686"/>
    </row>
    <row r="2" spans="1:1024" ht="42.75" customHeight="1">
      <c r="A2" s="686"/>
      <c r="B2" s="1648" t="e">
        <f>#REF!</f>
        <v>#REF!</v>
      </c>
      <c r="C2" s="1648"/>
      <c r="D2" s="1648"/>
      <c r="E2" s="1648"/>
      <c r="F2" s="1648"/>
      <c r="G2" s="688"/>
      <c r="H2" s="688"/>
      <c r="I2" s="688"/>
      <c r="J2" s="688"/>
      <c r="K2" s="688"/>
      <c r="L2" s="688"/>
      <c r="M2" s="688"/>
      <c r="N2" s="688"/>
      <c r="O2" s="688"/>
      <c r="P2" s="689"/>
      <c r="Q2" s="690"/>
      <c r="R2" s="688"/>
      <c r="S2" s="688"/>
      <c r="T2" s="688"/>
      <c r="U2" s="688"/>
      <c r="V2" s="688"/>
      <c r="W2" s="688"/>
      <c r="X2" s="688"/>
      <c r="Y2" s="688"/>
      <c r="Z2" s="688"/>
      <c r="AA2" s="688"/>
      <c r="AB2" s="688"/>
      <c r="AC2" s="688"/>
      <c r="AD2" s="688"/>
      <c r="AE2" s="688"/>
      <c r="AF2" s="688"/>
      <c r="AG2" s="688"/>
      <c r="AH2" s="688"/>
      <c r="AI2" s="688"/>
      <c r="AJ2" s="688"/>
      <c r="AK2" s="688"/>
      <c r="AL2" s="688"/>
      <c r="AM2" s="688"/>
      <c r="AN2" s="688"/>
      <c r="AO2" s="688"/>
      <c r="AP2" s="688"/>
      <c r="AQ2" s="688"/>
      <c r="AR2" s="688"/>
      <c r="AS2" s="688"/>
      <c r="AT2" s="688"/>
      <c r="AU2" s="688"/>
      <c r="AV2" s="688"/>
      <c r="AW2" s="688"/>
      <c r="AX2" s="688"/>
      <c r="AY2" s="688"/>
      <c r="AZ2" s="688"/>
      <c r="BA2" s="688"/>
      <c r="BB2" s="688"/>
      <c r="BC2" s="688"/>
      <c r="BD2" s="688"/>
      <c r="BE2" s="688"/>
      <c r="BF2" s="688"/>
      <c r="BG2" s="688"/>
      <c r="BH2" s="688"/>
      <c r="BI2" s="688"/>
      <c r="BJ2" s="688"/>
      <c r="BK2" s="688"/>
      <c r="BL2" s="688"/>
      <c r="BM2" s="688"/>
      <c r="BN2" s="688"/>
      <c r="BO2" s="688"/>
      <c r="BP2" s="688"/>
      <c r="BQ2" s="688"/>
      <c r="BR2" s="688"/>
      <c r="BS2" s="688"/>
      <c r="BT2" s="688"/>
      <c r="BU2" s="688"/>
      <c r="BV2" s="688"/>
      <c r="BW2" s="688"/>
      <c r="BX2" s="688"/>
      <c r="BY2" s="688"/>
      <c r="BZ2" s="688"/>
      <c r="CA2" s="688"/>
      <c r="CB2" s="688"/>
      <c r="CC2" s="688"/>
      <c r="CD2" s="688"/>
      <c r="CE2" s="688"/>
      <c r="CF2" s="688"/>
      <c r="CG2" s="688"/>
      <c r="CH2" s="688"/>
      <c r="CI2" s="688"/>
      <c r="CJ2" s="688"/>
      <c r="CK2" s="688"/>
      <c r="CL2" s="688"/>
      <c r="CM2" s="688"/>
      <c r="CN2" s="688"/>
      <c r="CO2" s="688"/>
      <c r="CP2" s="688"/>
      <c r="CQ2" s="688"/>
      <c r="CR2" s="688"/>
      <c r="CS2" s="688"/>
      <c r="CT2" s="688"/>
      <c r="CU2" s="688"/>
      <c r="CV2" s="688"/>
      <c r="CW2" s="688"/>
      <c r="CX2" s="688"/>
      <c r="CY2" s="688"/>
      <c r="CZ2" s="688"/>
      <c r="DA2" s="688"/>
      <c r="DB2" s="688"/>
      <c r="DC2" s="688"/>
      <c r="DD2" s="688"/>
      <c r="DE2" s="688"/>
      <c r="DF2" s="688"/>
      <c r="DG2" s="688"/>
      <c r="DH2" s="688"/>
      <c r="DI2" s="688"/>
      <c r="DJ2" s="688"/>
      <c r="DK2" s="688"/>
      <c r="DL2" s="688"/>
      <c r="DM2" s="688"/>
      <c r="DN2" s="688"/>
      <c r="DO2" s="688"/>
      <c r="DP2" s="688"/>
      <c r="DQ2" s="688"/>
      <c r="DR2" s="688"/>
      <c r="DS2" s="688"/>
      <c r="DT2" s="688"/>
      <c r="DU2" s="688"/>
      <c r="DV2" s="688"/>
      <c r="DW2" s="688"/>
      <c r="DX2" s="688"/>
      <c r="DY2" s="688"/>
      <c r="DZ2" s="688"/>
      <c r="EA2" s="688"/>
      <c r="EB2" s="688"/>
      <c r="EC2" s="688"/>
      <c r="ED2" s="688"/>
      <c r="EE2" s="688"/>
      <c r="EF2" s="688"/>
      <c r="EG2" s="688"/>
      <c r="EH2" s="688"/>
      <c r="EI2" s="688"/>
      <c r="EJ2" s="688"/>
      <c r="EK2" s="688"/>
      <c r="EL2" s="688"/>
      <c r="EM2" s="688"/>
      <c r="EN2" s="688"/>
      <c r="EO2" s="688"/>
      <c r="EP2" s="688"/>
      <c r="EQ2" s="688"/>
      <c r="ER2" s="688"/>
      <c r="ES2" s="688"/>
      <c r="ET2" s="688"/>
      <c r="EU2" s="688"/>
      <c r="EV2" s="688"/>
      <c r="EW2" s="688"/>
      <c r="EX2" s="688"/>
      <c r="EY2" s="688"/>
      <c r="EZ2" s="688"/>
      <c r="FA2" s="688"/>
      <c r="FB2" s="688"/>
      <c r="FC2" s="688"/>
      <c r="FD2" s="688"/>
      <c r="FE2" s="688"/>
      <c r="FF2" s="688"/>
      <c r="FG2" s="688"/>
      <c r="FH2" s="688"/>
      <c r="FI2" s="688"/>
      <c r="FJ2" s="688"/>
      <c r="FK2" s="688"/>
      <c r="FL2" s="688"/>
      <c r="FM2" s="688"/>
      <c r="FN2" s="688"/>
      <c r="FO2" s="688"/>
      <c r="FP2" s="688"/>
      <c r="FQ2" s="688"/>
      <c r="FR2" s="688"/>
      <c r="FS2" s="688"/>
      <c r="FT2" s="688"/>
      <c r="FU2" s="688"/>
      <c r="FV2" s="688"/>
      <c r="FW2" s="688"/>
      <c r="FX2" s="688"/>
      <c r="FY2" s="688"/>
      <c r="FZ2" s="688"/>
      <c r="GA2" s="688"/>
      <c r="GB2" s="688"/>
      <c r="GC2" s="688"/>
      <c r="GD2" s="688"/>
      <c r="GE2" s="688"/>
      <c r="GF2" s="688"/>
      <c r="GG2" s="688"/>
      <c r="GH2" s="688"/>
      <c r="GI2" s="688"/>
      <c r="GJ2" s="688"/>
      <c r="GK2" s="688"/>
      <c r="GL2" s="688"/>
      <c r="GM2" s="688"/>
      <c r="GN2" s="688"/>
      <c r="GO2" s="688"/>
      <c r="GP2" s="688"/>
      <c r="GQ2" s="688"/>
      <c r="GR2" s="688"/>
      <c r="GS2" s="688"/>
      <c r="GT2" s="688"/>
      <c r="GU2" s="688"/>
      <c r="GV2" s="688"/>
      <c r="GW2" s="688"/>
      <c r="GX2" s="688"/>
      <c r="GY2" s="688"/>
      <c r="GZ2" s="688"/>
      <c r="HA2" s="688"/>
      <c r="HB2" s="688"/>
      <c r="HC2" s="688"/>
      <c r="HD2" s="688"/>
      <c r="HE2" s="688"/>
      <c r="HF2" s="688"/>
      <c r="HG2" s="688"/>
      <c r="HH2" s="688"/>
      <c r="HI2" s="688"/>
      <c r="HJ2" s="688"/>
      <c r="HK2" s="688"/>
      <c r="HL2" s="688"/>
      <c r="HM2" s="688"/>
      <c r="HN2" s="688"/>
      <c r="HO2" s="688"/>
      <c r="HP2" s="688"/>
      <c r="HQ2" s="688"/>
      <c r="HR2" s="688"/>
      <c r="HS2" s="688"/>
      <c r="HT2" s="688"/>
      <c r="HU2" s="688"/>
      <c r="HV2" s="688"/>
      <c r="HW2" s="688"/>
      <c r="HX2" s="688"/>
      <c r="HY2" s="688"/>
      <c r="HZ2" s="688"/>
      <c r="IA2" s="688"/>
      <c r="IB2" s="688"/>
      <c r="IC2" s="688"/>
      <c r="ID2" s="688"/>
      <c r="IE2" s="688"/>
      <c r="IF2" s="688"/>
      <c r="IG2" s="688"/>
      <c r="IH2" s="688"/>
      <c r="II2" s="688"/>
      <c r="IJ2" s="688"/>
      <c r="IK2" s="688"/>
      <c r="IL2" s="688"/>
      <c r="IM2" s="688"/>
      <c r="IN2" s="688"/>
      <c r="IO2" s="688"/>
      <c r="IP2" s="688"/>
      <c r="IQ2" s="688"/>
      <c r="IR2" s="688"/>
      <c r="IS2" s="688"/>
      <c r="IT2" s="688"/>
      <c r="IU2" s="688"/>
      <c r="IV2" s="688"/>
      <c r="IW2" s="688"/>
      <c r="IX2" s="688"/>
      <c r="IY2" s="688"/>
      <c r="IZ2" s="688"/>
      <c r="JA2" s="688"/>
      <c r="JB2" s="688"/>
      <c r="JC2" s="688"/>
      <c r="JD2" s="688"/>
      <c r="JE2" s="688"/>
      <c r="JF2" s="688"/>
      <c r="JG2" s="688"/>
      <c r="JH2" s="688"/>
      <c r="JI2" s="688"/>
      <c r="JJ2" s="688"/>
      <c r="JK2" s="688"/>
      <c r="JL2" s="688"/>
      <c r="JM2" s="688"/>
      <c r="JN2" s="688"/>
      <c r="JO2" s="688"/>
      <c r="JP2" s="688"/>
      <c r="JQ2" s="688"/>
      <c r="JR2" s="688"/>
      <c r="JS2" s="688"/>
      <c r="JT2" s="688"/>
      <c r="JU2" s="688"/>
      <c r="JV2" s="688"/>
      <c r="JW2" s="688"/>
      <c r="JX2" s="688"/>
      <c r="JY2" s="688"/>
      <c r="JZ2" s="688"/>
      <c r="KA2" s="688"/>
      <c r="KB2" s="688"/>
      <c r="KC2" s="688"/>
      <c r="KD2" s="688"/>
      <c r="KE2" s="688"/>
      <c r="KF2" s="688"/>
      <c r="KG2" s="688"/>
      <c r="KH2" s="688"/>
      <c r="KI2" s="688"/>
      <c r="KJ2" s="688"/>
      <c r="KK2" s="688"/>
      <c r="KL2" s="688"/>
      <c r="KM2" s="688"/>
      <c r="KN2" s="688"/>
      <c r="KO2" s="688"/>
      <c r="KP2" s="688"/>
      <c r="KQ2" s="688"/>
      <c r="KR2" s="688"/>
      <c r="KS2" s="688"/>
      <c r="KT2" s="688"/>
      <c r="KU2" s="688"/>
      <c r="KV2" s="688"/>
      <c r="KW2" s="688"/>
      <c r="KX2" s="688"/>
      <c r="KY2" s="688"/>
      <c r="KZ2" s="688"/>
      <c r="LA2" s="688"/>
      <c r="LB2" s="688"/>
      <c r="LC2" s="688"/>
      <c r="LD2" s="688"/>
      <c r="LE2" s="688"/>
      <c r="LF2" s="688"/>
      <c r="LG2" s="688"/>
      <c r="LH2" s="688"/>
      <c r="LI2" s="688"/>
      <c r="LJ2" s="688"/>
      <c r="LK2" s="688"/>
      <c r="LL2" s="688"/>
      <c r="LM2" s="688"/>
      <c r="LN2" s="688"/>
      <c r="LO2" s="688"/>
      <c r="LP2" s="688"/>
      <c r="LQ2" s="688"/>
      <c r="LR2" s="688"/>
      <c r="LS2" s="688"/>
      <c r="LT2" s="688"/>
      <c r="LU2" s="688"/>
      <c r="LV2" s="688"/>
      <c r="LW2" s="688"/>
      <c r="LX2" s="688"/>
      <c r="LY2" s="688"/>
      <c r="LZ2" s="688"/>
      <c r="MA2" s="688"/>
      <c r="MB2" s="688"/>
      <c r="MC2" s="688"/>
      <c r="MD2" s="688"/>
      <c r="ME2" s="688"/>
      <c r="MF2" s="688"/>
      <c r="MG2" s="688"/>
      <c r="MH2" s="688"/>
      <c r="MI2" s="688"/>
      <c r="MJ2" s="688"/>
      <c r="MK2" s="688"/>
      <c r="ML2" s="688"/>
      <c r="MM2" s="688"/>
      <c r="MN2" s="688"/>
      <c r="MO2" s="688"/>
      <c r="MP2" s="688"/>
      <c r="MQ2" s="688"/>
      <c r="MR2" s="688"/>
      <c r="MS2" s="688"/>
      <c r="MT2" s="688"/>
      <c r="MU2" s="688"/>
      <c r="MV2" s="688"/>
      <c r="MW2" s="688"/>
      <c r="MX2" s="688"/>
      <c r="MY2" s="688"/>
      <c r="MZ2" s="688"/>
      <c r="NA2" s="688"/>
      <c r="NB2" s="688"/>
      <c r="NC2" s="688"/>
      <c r="ND2" s="688"/>
      <c r="NE2" s="688"/>
      <c r="NF2" s="688"/>
      <c r="NG2" s="688"/>
      <c r="NH2" s="688"/>
      <c r="NI2" s="688"/>
      <c r="NJ2" s="688"/>
      <c r="NK2" s="688"/>
      <c r="NL2" s="688"/>
      <c r="NM2" s="688"/>
      <c r="NN2" s="688"/>
      <c r="NO2" s="688"/>
      <c r="NP2" s="688"/>
      <c r="NQ2" s="688"/>
      <c r="NR2" s="688"/>
      <c r="NS2" s="688"/>
      <c r="NT2" s="688"/>
      <c r="NU2" s="688"/>
      <c r="NV2" s="688"/>
      <c r="NW2" s="688"/>
      <c r="NX2" s="688"/>
      <c r="NY2" s="688"/>
      <c r="NZ2" s="688"/>
      <c r="OA2" s="688"/>
      <c r="OB2" s="688"/>
      <c r="OC2" s="688"/>
      <c r="OD2" s="688"/>
      <c r="OE2" s="688"/>
      <c r="OF2" s="688"/>
      <c r="OG2" s="688"/>
      <c r="OH2" s="688"/>
      <c r="OI2" s="688"/>
      <c r="OJ2" s="688"/>
      <c r="OK2" s="688"/>
      <c r="OL2" s="688"/>
      <c r="OM2" s="688"/>
      <c r="ON2" s="688"/>
      <c r="OO2" s="688"/>
      <c r="OP2" s="688"/>
      <c r="OQ2" s="688"/>
      <c r="OR2" s="688"/>
      <c r="OS2" s="688"/>
      <c r="OT2" s="688"/>
      <c r="OU2" s="688"/>
      <c r="OV2" s="688"/>
      <c r="OW2" s="688"/>
      <c r="OX2" s="688"/>
      <c r="OY2" s="688"/>
      <c r="OZ2" s="688"/>
      <c r="PA2" s="688"/>
      <c r="PB2" s="688"/>
      <c r="PC2" s="688"/>
      <c r="PD2" s="688"/>
      <c r="PE2" s="688"/>
      <c r="PF2" s="688"/>
      <c r="PG2" s="688"/>
      <c r="PH2" s="688"/>
      <c r="PI2" s="688"/>
      <c r="PJ2" s="688"/>
      <c r="PK2" s="688"/>
      <c r="PL2" s="688"/>
      <c r="PM2" s="688"/>
      <c r="PN2" s="688"/>
      <c r="PO2" s="688"/>
      <c r="PP2" s="688"/>
      <c r="PQ2" s="688"/>
      <c r="PR2" s="688"/>
      <c r="PS2" s="688"/>
      <c r="PT2" s="688"/>
      <c r="PU2" s="688"/>
      <c r="PV2" s="688"/>
      <c r="PW2" s="688"/>
      <c r="PX2" s="688"/>
      <c r="PY2" s="688"/>
      <c r="PZ2" s="688"/>
      <c r="QA2" s="688"/>
      <c r="QB2" s="688"/>
      <c r="QC2" s="688"/>
      <c r="QD2" s="688"/>
      <c r="QE2" s="688"/>
      <c r="QF2" s="688"/>
      <c r="QG2" s="688"/>
      <c r="QH2" s="688"/>
      <c r="QI2" s="688"/>
      <c r="QJ2" s="688"/>
      <c r="QK2" s="688"/>
      <c r="QL2" s="688"/>
      <c r="QM2" s="688"/>
      <c r="QN2" s="688"/>
      <c r="QO2" s="688"/>
      <c r="QP2" s="688"/>
      <c r="QQ2" s="688"/>
      <c r="QR2" s="688"/>
      <c r="QS2" s="688"/>
      <c r="QT2" s="688"/>
      <c r="QU2" s="688"/>
      <c r="QV2" s="688"/>
      <c r="QW2" s="688"/>
      <c r="QX2" s="688"/>
      <c r="QY2" s="688"/>
      <c r="QZ2" s="688"/>
      <c r="RA2" s="688"/>
      <c r="RB2" s="688"/>
      <c r="RC2" s="688"/>
      <c r="RD2" s="688"/>
      <c r="RE2" s="688"/>
      <c r="RF2" s="688"/>
      <c r="RG2" s="688"/>
      <c r="RH2" s="688"/>
      <c r="RI2" s="688"/>
      <c r="RJ2" s="688"/>
      <c r="RK2" s="688"/>
      <c r="RL2" s="688"/>
      <c r="RM2" s="688"/>
      <c r="RN2" s="688"/>
      <c r="RO2" s="688"/>
      <c r="RP2" s="688"/>
      <c r="RQ2" s="688"/>
      <c r="RR2" s="688"/>
      <c r="RS2" s="688"/>
      <c r="RT2" s="688"/>
      <c r="RU2" s="688"/>
      <c r="RV2" s="688"/>
      <c r="RW2" s="688"/>
      <c r="RX2" s="688"/>
      <c r="RY2" s="688"/>
      <c r="RZ2" s="688"/>
      <c r="SA2" s="688"/>
      <c r="SB2" s="688"/>
      <c r="SC2" s="688"/>
      <c r="SD2" s="688"/>
      <c r="SE2" s="688"/>
      <c r="SF2" s="688"/>
      <c r="SG2" s="688"/>
      <c r="SH2" s="688"/>
      <c r="SI2" s="688"/>
      <c r="SJ2" s="688"/>
      <c r="SK2" s="688"/>
      <c r="SL2" s="688"/>
      <c r="SM2" s="688"/>
      <c r="SN2" s="688"/>
      <c r="SO2" s="688"/>
      <c r="SP2" s="688"/>
      <c r="SQ2" s="688"/>
      <c r="SR2" s="688"/>
      <c r="SS2" s="688"/>
      <c r="ST2" s="688"/>
      <c r="SU2" s="688"/>
      <c r="SV2" s="688"/>
      <c r="SW2" s="688"/>
      <c r="SX2" s="688"/>
      <c r="SY2" s="688"/>
      <c r="SZ2" s="688"/>
      <c r="TA2" s="688"/>
      <c r="TB2" s="688"/>
      <c r="TC2" s="688"/>
      <c r="TD2" s="688"/>
      <c r="TE2" s="688"/>
      <c r="TF2" s="688"/>
      <c r="TG2" s="688"/>
      <c r="TH2" s="688"/>
      <c r="TI2" s="688"/>
      <c r="TJ2" s="688"/>
      <c r="TK2" s="688"/>
      <c r="TL2" s="688"/>
      <c r="TM2" s="688"/>
      <c r="TN2" s="688"/>
      <c r="TO2" s="688"/>
      <c r="TP2" s="688"/>
      <c r="TQ2" s="688"/>
      <c r="TR2" s="688"/>
      <c r="TS2" s="688"/>
      <c r="TT2" s="688"/>
      <c r="TU2" s="688"/>
      <c r="TV2" s="688"/>
      <c r="TW2" s="688"/>
      <c r="TX2" s="688"/>
      <c r="TY2" s="688"/>
      <c r="TZ2" s="688"/>
      <c r="UA2" s="688"/>
      <c r="UB2" s="688"/>
      <c r="UC2" s="688"/>
      <c r="UD2" s="688"/>
      <c r="UE2" s="688"/>
      <c r="UF2" s="688"/>
      <c r="UG2" s="688"/>
      <c r="UH2" s="688"/>
      <c r="UI2" s="688"/>
      <c r="UJ2" s="688"/>
      <c r="UK2" s="688"/>
      <c r="UL2" s="688"/>
      <c r="UM2" s="688"/>
      <c r="UN2" s="688"/>
      <c r="UO2" s="688"/>
      <c r="UP2" s="688"/>
      <c r="UQ2" s="688"/>
      <c r="UR2" s="688"/>
      <c r="US2" s="688"/>
      <c r="UT2" s="688"/>
      <c r="UU2" s="688"/>
      <c r="UV2" s="688"/>
      <c r="UW2" s="688"/>
      <c r="UX2" s="688"/>
      <c r="UY2" s="688"/>
      <c r="UZ2" s="688"/>
      <c r="VA2" s="688"/>
      <c r="VB2" s="688"/>
      <c r="VC2" s="688"/>
      <c r="VD2" s="688"/>
      <c r="VE2" s="688"/>
      <c r="VF2" s="688"/>
      <c r="VG2" s="688"/>
      <c r="VH2" s="688"/>
      <c r="VI2" s="688"/>
      <c r="VJ2" s="688"/>
      <c r="VK2" s="688"/>
      <c r="VL2" s="688"/>
      <c r="VM2" s="688"/>
      <c r="VN2" s="688"/>
      <c r="VO2" s="688"/>
      <c r="VP2" s="688"/>
      <c r="VQ2" s="688"/>
      <c r="VR2" s="688"/>
      <c r="VS2" s="688"/>
      <c r="VT2" s="688"/>
      <c r="VU2" s="688"/>
      <c r="VV2" s="688"/>
      <c r="VW2" s="688"/>
      <c r="VX2" s="688"/>
      <c r="VY2" s="688"/>
      <c r="VZ2" s="688"/>
      <c r="WA2" s="688"/>
      <c r="WB2" s="688"/>
      <c r="WC2" s="688"/>
      <c r="WD2" s="688"/>
      <c r="WE2" s="688"/>
      <c r="WF2" s="688"/>
      <c r="WG2" s="688"/>
      <c r="WH2" s="688"/>
      <c r="WI2" s="688"/>
      <c r="WJ2" s="688"/>
      <c r="WK2" s="688"/>
      <c r="WL2" s="688"/>
      <c r="WM2" s="688"/>
      <c r="WN2" s="688"/>
      <c r="WO2" s="688"/>
      <c r="WP2" s="688"/>
      <c r="WQ2" s="688"/>
      <c r="WR2" s="688"/>
      <c r="WS2" s="688"/>
      <c r="WT2" s="688"/>
      <c r="WU2" s="688"/>
      <c r="WV2" s="688"/>
      <c r="WW2" s="688"/>
      <c r="WX2" s="688"/>
      <c r="WY2" s="688"/>
      <c r="WZ2" s="688"/>
      <c r="XA2" s="688"/>
      <c r="XB2" s="688"/>
      <c r="XC2" s="688"/>
      <c r="XD2" s="688"/>
      <c r="XE2" s="688"/>
      <c r="XF2" s="688"/>
      <c r="XG2" s="688"/>
      <c r="XH2" s="688"/>
      <c r="XI2" s="688"/>
      <c r="XJ2" s="688"/>
      <c r="XK2" s="688"/>
      <c r="XL2" s="688"/>
      <c r="XM2" s="688"/>
      <c r="XN2" s="688"/>
      <c r="XO2" s="688"/>
      <c r="XP2" s="688"/>
      <c r="XQ2" s="688"/>
      <c r="XR2" s="688"/>
      <c r="XS2" s="688"/>
      <c r="XT2" s="688"/>
      <c r="XU2" s="688"/>
      <c r="XV2" s="688"/>
      <c r="XW2" s="688"/>
      <c r="XX2" s="688"/>
      <c r="XY2" s="688"/>
      <c r="XZ2" s="688"/>
      <c r="YA2" s="688"/>
      <c r="YB2" s="688"/>
      <c r="YC2" s="688"/>
      <c r="YD2" s="688"/>
      <c r="YE2" s="688"/>
      <c r="YF2" s="688"/>
      <c r="YG2" s="688"/>
      <c r="YH2" s="688"/>
      <c r="YI2" s="688"/>
      <c r="YJ2" s="688"/>
      <c r="YK2" s="688"/>
      <c r="YL2" s="688"/>
      <c r="YM2" s="688"/>
      <c r="YN2" s="688"/>
      <c r="YO2" s="688"/>
      <c r="YP2" s="688"/>
      <c r="YQ2" s="688"/>
      <c r="YR2" s="688"/>
      <c r="YS2" s="688"/>
      <c r="YT2" s="688"/>
      <c r="YU2" s="688"/>
      <c r="YV2" s="688"/>
      <c r="YW2" s="688"/>
      <c r="YX2" s="688"/>
      <c r="YY2" s="688"/>
      <c r="YZ2" s="688"/>
      <c r="ZA2" s="688"/>
      <c r="ZB2" s="688"/>
      <c r="ZC2" s="688"/>
      <c r="ZD2" s="688"/>
      <c r="ZE2" s="688"/>
      <c r="ZF2" s="688"/>
      <c r="ZG2" s="688"/>
      <c r="ZH2" s="688"/>
      <c r="ZI2" s="688"/>
      <c r="ZJ2" s="688"/>
      <c r="ZK2" s="688"/>
      <c r="ZL2" s="688"/>
      <c r="ZM2" s="688"/>
      <c r="ZN2" s="688"/>
      <c r="ZO2" s="688"/>
      <c r="ZP2" s="688"/>
      <c r="ZQ2" s="688"/>
      <c r="ZR2" s="688"/>
      <c r="ZS2" s="688"/>
      <c r="ZT2" s="688"/>
      <c r="ZU2" s="688"/>
      <c r="ZV2" s="688"/>
      <c r="ZW2" s="688"/>
      <c r="ZX2" s="688"/>
      <c r="ZY2" s="688"/>
      <c r="ZZ2" s="688"/>
      <c r="AAA2" s="688"/>
      <c r="AAB2" s="688"/>
      <c r="AAC2" s="688"/>
      <c r="AAD2" s="688"/>
      <c r="AAE2" s="688"/>
      <c r="AAF2" s="688"/>
      <c r="AAG2" s="688"/>
      <c r="AAH2" s="688"/>
      <c r="AAI2" s="688"/>
      <c r="AAJ2" s="688"/>
      <c r="AAK2" s="688"/>
      <c r="AAL2" s="688"/>
      <c r="AAM2" s="688"/>
      <c r="AAN2" s="688"/>
      <c r="AAO2" s="688"/>
      <c r="AAP2" s="688"/>
      <c r="AAQ2" s="688"/>
      <c r="AAR2" s="688"/>
      <c r="AAS2" s="688"/>
      <c r="AAT2" s="688"/>
      <c r="AAU2" s="688"/>
      <c r="AAV2" s="688"/>
      <c r="AAW2" s="688"/>
      <c r="AAX2" s="688"/>
      <c r="AAY2" s="688"/>
      <c r="AAZ2" s="688"/>
      <c r="ABA2" s="688"/>
      <c r="ABB2" s="688"/>
      <c r="ABC2" s="688"/>
      <c r="ABD2" s="688"/>
      <c r="ABE2" s="688"/>
      <c r="ABF2" s="688"/>
      <c r="ABG2" s="688"/>
      <c r="ABH2" s="688"/>
      <c r="ABI2" s="688"/>
      <c r="ABJ2" s="688"/>
      <c r="ABK2" s="688"/>
      <c r="ABL2" s="688"/>
      <c r="ABM2" s="688"/>
      <c r="ABN2" s="688"/>
      <c r="ABO2" s="688"/>
      <c r="ABP2" s="688"/>
      <c r="ABQ2" s="688"/>
      <c r="ABR2" s="688"/>
      <c r="ABS2" s="688"/>
      <c r="ABT2" s="688"/>
      <c r="ABU2" s="688"/>
      <c r="ABV2" s="688"/>
      <c r="ABW2" s="688"/>
      <c r="ABX2" s="688"/>
      <c r="ABY2" s="688"/>
      <c r="ABZ2" s="688"/>
      <c r="ACA2" s="688"/>
      <c r="ACB2" s="688"/>
      <c r="ACC2" s="688"/>
      <c r="ACD2" s="688"/>
      <c r="ACE2" s="688"/>
      <c r="ACF2" s="688"/>
      <c r="ACG2" s="688"/>
      <c r="ACH2" s="688"/>
      <c r="ACI2" s="688"/>
      <c r="ACJ2" s="688"/>
      <c r="ACK2" s="688"/>
      <c r="ACL2" s="688"/>
      <c r="ACM2" s="688"/>
      <c r="ACN2" s="688"/>
      <c r="ACO2" s="688"/>
      <c r="ACP2" s="688"/>
      <c r="ACQ2" s="688"/>
      <c r="ACR2" s="688"/>
      <c r="ACS2" s="688"/>
      <c r="ACT2" s="688"/>
      <c r="ACU2" s="688"/>
      <c r="ACV2" s="688"/>
      <c r="ACW2" s="688"/>
      <c r="ACX2" s="688"/>
      <c r="ACY2" s="688"/>
      <c r="ACZ2" s="688"/>
      <c r="ADA2" s="688"/>
      <c r="ADB2" s="688"/>
      <c r="ADC2" s="688"/>
      <c r="ADD2" s="688"/>
      <c r="ADE2" s="688"/>
      <c r="ADF2" s="688"/>
      <c r="ADG2" s="688"/>
      <c r="ADH2" s="688"/>
      <c r="ADI2" s="688"/>
      <c r="ADJ2" s="688"/>
      <c r="ADK2" s="688"/>
      <c r="ADL2" s="688"/>
      <c r="ADM2" s="688"/>
      <c r="ADN2" s="688"/>
      <c r="ADO2" s="688"/>
      <c r="ADP2" s="688"/>
      <c r="ADQ2" s="688"/>
      <c r="ADR2" s="688"/>
      <c r="ADS2" s="688"/>
      <c r="ADT2" s="688"/>
      <c r="ADU2" s="688"/>
      <c r="ADV2" s="688"/>
      <c r="ADW2" s="688"/>
      <c r="ADX2" s="688"/>
      <c r="ADY2" s="688"/>
      <c r="ADZ2" s="688"/>
      <c r="AEA2" s="688"/>
      <c r="AEB2" s="688"/>
      <c r="AEC2" s="688"/>
      <c r="AED2" s="688"/>
      <c r="AEE2" s="688"/>
      <c r="AEF2" s="688"/>
      <c r="AEG2" s="688"/>
      <c r="AEH2" s="688"/>
      <c r="AEI2" s="688"/>
      <c r="AEJ2" s="688"/>
      <c r="AEK2" s="688"/>
      <c r="AEL2" s="688"/>
      <c r="AEM2" s="688"/>
      <c r="AEN2" s="688"/>
      <c r="AEO2" s="688"/>
      <c r="AEP2" s="688"/>
      <c r="AEQ2" s="688"/>
      <c r="AER2" s="688"/>
      <c r="AES2" s="688"/>
      <c r="AET2" s="688"/>
      <c r="AEU2" s="688"/>
      <c r="AEV2" s="688"/>
      <c r="AEW2" s="688"/>
      <c r="AEX2" s="688"/>
      <c r="AEY2" s="688"/>
      <c r="AEZ2" s="688"/>
      <c r="AFA2" s="688"/>
      <c r="AFB2" s="688"/>
      <c r="AFC2" s="688"/>
      <c r="AFD2" s="688"/>
      <c r="AFE2" s="688"/>
      <c r="AFF2" s="688"/>
      <c r="AFG2" s="688"/>
      <c r="AFH2" s="688"/>
      <c r="AFI2" s="688"/>
      <c r="AFJ2" s="688"/>
      <c r="AFK2" s="688"/>
      <c r="AFL2" s="688"/>
      <c r="AFM2" s="688"/>
      <c r="AFN2" s="688"/>
      <c r="AFO2" s="688"/>
      <c r="AFP2" s="688"/>
      <c r="AFQ2" s="688"/>
      <c r="AFR2" s="688"/>
      <c r="AFS2" s="688"/>
      <c r="AFT2" s="688"/>
      <c r="AFU2" s="688"/>
      <c r="AFV2" s="688"/>
      <c r="AFW2" s="688"/>
      <c r="AFX2" s="688"/>
      <c r="AFY2" s="688"/>
      <c r="AFZ2" s="688"/>
      <c r="AGA2" s="688"/>
      <c r="AGB2" s="688"/>
      <c r="AGC2" s="688"/>
      <c r="AGD2" s="688"/>
      <c r="AGE2" s="688"/>
      <c r="AGF2" s="688"/>
      <c r="AGG2" s="688"/>
      <c r="AGH2" s="688"/>
      <c r="AGI2" s="688"/>
      <c r="AGJ2" s="688"/>
      <c r="AGK2" s="688"/>
      <c r="AGL2" s="688"/>
      <c r="AGM2" s="688"/>
      <c r="AGN2" s="688"/>
      <c r="AGO2" s="688"/>
      <c r="AGP2" s="688"/>
      <c r="AGQ2" s="688"/>
      <c r="AGR2" s="688"/>
      <c r="AGS2" s="688"/>
      <c r="AGT2" s="688"/>
      <c r="AGU2" s="688"/>
      <c r="AGV2" s="688"/>
      <c r="AGW2" s="688"/>
      <c r="AGX2" s="688"/>
      <c r="AGY2" s="688"/>
      <c r="AGZ2" s="688"/>
      <c r="AHA2" s="688"/>
      <c r="AHB2" s="688"/>
      <c r="AHC2" s="688"/>
      <c r="AHD2" s="688"/>
      <c r="AHE2" s="688"/>
      <c r="AHF2" s="688"/>
      <c r="AHG2" s="688"/>
      <c r="AHH2" s="688"/>
      <c r="AHI2" s="688"/>
      <c r="AHJ2" s="688"/>
      <c r="AHK2" s="688"/>
      <c r="AHL2" s="688"/>
      <c r="AHM2" s="688"/>
      <c r="AHN2" s="688"/>
      <c r="AHO2" s="688"/>
      <c r="AHP2" s="688"/>
      <c r="AHQ2" s="688"/>
      <c r="AHR2" s="688"/>
      <c r="AHS2" s="688"/>
      <c r="AHT2" s="688"/>
      <c r="AHU2" s="688"/>
      <c r="AHV2" s="688"/>
      <c r="AHW2" s="688"/>
      <c r="AHX2" s="688"/>
      <c r="AHY2" s="688"/>
      <c r="AHZ2" s="688"/>
      <c r="AIA2" s="688"/>
      <c r="AIB2" s="688"/>
      <c r="AIC2" s="688"/>
      <c r="AID2" s="688"/>
      <c r="AIE2" s="688"/>
      <c r="AIF2" s="688"/>
      <c r="AIG2" s="688"/>
      <c r="AIH2" s="688"/>
      <c r="AII2" s="688"/>
      <c r="AIJ2" s="688"/>
      <c r="AIK2" s="688"/>
      <c r="AIL2" s="688"/>
      <c r="AIM2" s="688"/>
      <c r="AIN2" s="688"/>
      <c r="AIO2" s="688"/>
      <c r="AIP2" s="688"/>
      <c r="AIQ2" s="688"/>
      <c r="AIR2" s="688"/>
      <c r="AIS2" s="688"/>
      <c r="AIT2" s="688"/>
      <c r="AIU2" s="688"/>
      <c r="AIV2" s="688"/>
      <c r="AIW2" s="688"/>
      <c r="AIX2" s="688"/>
      <c r="AIY2" s="688"/>
      <c r="AIZ2" s="688"/>
      <c r="AJA2" s="688"/>
      <c r="AJB2" s="688"/>
      <c r="AJC2" s="688"/>
      <c r="AJD2" s="688"/>
      <c r="AJE2" s="688"/>
      <c r="AJF2" s="688"/>
      <c r="AJG2" s="688"/>
      <c r="AJH2" s="688"/>
      <c r="AJI2" s="688"/>
      <c r="AJJ2" s="688"/>
      <c r="AJK2" s="688"/>
      <c r="AJL2" s="688"/>
      <c r="AJM2" s="688"/>
      <c r="AJN2" s="688"/>
      <c r="AJO2" s="688"/>
      <c r="AJP2" s="688"/>
      <c r="AJQ2" s="688"/>
      <c r="AJR2" s="688"/>
      <c r="AJS2" s="688"/>
      <c r="AJT2" s="688"/>
      <c r="AJU2" s="688"/>
      <c r="AJV2" s="688"/>
      <c r="AJW2" s="688"/>
      <c r="AJX2" s="688"/>
      <c r="AJY2" s="688"/>
      <c r="AJZ2" s="688"/>
      <c r="AKA2" s="688"/>
      <c r="AKB2" s="688"/>
      <c r="AKC2" s="688"/>
      <c r="AKD2" s="688"/>
      <c r="AKE2" s="688"/>
      <c r="AKF2" s="688"/>
      <c r="AKG2" s="688"/>
      <c r="AKH2" s="688"/>
      <c r="AKI2" s="688"/>
      <c r="AKJ2" s="688"/>
      <c r="AKK2" s="688"/>
      <c r="AKL2" s="688"/>
      <c r="AKM2" s="688"/>
      <c r="AKN2" s="688"/>
      <c r="AKO2" s="688"/>
      <c r="AKP2" s="688"/>
      <c r="AKQ2" s="688"/>
      <c r="AKR2" s="688"/>
      <c r="AKS2" s="688"/>
      <c r="AKT2" s="688"/>
      <c r="AKU2" s="688"/>
      <c r="AKV2" s="688"/>
      <c r="AKW2" s="688"/>
      <c r="AKX2" s="688"/>
      <c r="AKY2" s="688"/>
      <c r="AKZ2" s="688"/>
      <c r="ALA2" s="688"/>
      <c r="ALB2" s="688"/>
      <c r="ALC2" s="688"/>
      <c r="ALD2" s="688"/>
      <c r="ALE2" s="688"/>
      <c r="ALF2" s="688"/>
      <c r="ALG2" s="688"/>
      <c r="ALH2" s="688"/>
      <c r="ALI2" s="688"/>
      <c r="ALJ2" s="688"/>
      <c r="ALK2" s="688"/>
      <c r="ALL2" s="688"/>
      <c r="ALM2" s="688"/>
      <c r="ALN2" s="688"/>
      <c r="ALO2" s="688"/>
      <c r="ALP2" s="688"/>
      <c r="ALQ2" s="688"/>
      <c r="ALR2" s="688"/>
      <c r="ALS2" s="688"/>
      <c r="ALT2" s="688"/>
      <c r="ALU2" s="688"/>
      <c r="ALV2" s="688"/>
      <c r="ALW2" s="688"/>
      <c r="ALX2" s="688"/>
      <c r="ALY2" s="688"/>
      <c r="ALZ2" s="688"/>
      <c r="AMA2" s="688"/>
      <c r="AMB2" s="688"/>
      <c r="AMC2" s="688"/>
      <c r="AMD2" s="688"/>
      <c r="AME2" s="688"/>
      <c r="AMF2" s="688"/>
      <c r="AMG2" s="688"/>
      <c r="AMH2" s="688"/>
      <c r="AMI2" s="688"/>
      <c r="AMJ2" s="688"/>
    </row>
    <row r="3" spans="1:1024" s="695" customFormat="1" ht="48" customHeight="1">
      <c r="A3" s="692"/>
      <c r="B3" s="692"/>
      <c r="C3" s="692"/>
      <c r="D3" s="693" t="s">
        <v>696</v>
      </c>
      <c r="E3" s="694" t="e">
        <f>#REF!</f>
        <v>#REF!</v>
      </c>
      <c r="F3" s="692" t="s">
        <v>697</v>
      </c>
      <c r="P3" s="689"/>
      <c r="Q3" s="690"/>
    </row>
    <row r="4" spans="1:1024" ht="57.75" customHeight="1">
      <c r="A4" s="692"/>
      <c r="B4" s="1649" t="s">
        <v>698</v>
      </c>
      <c r="C4" s="1649"/>
      <c r="D4" s="1649"/>
      <c r="E4" s="1649"/>
      <c r="F4" s="1649"/>
      <c r="G4" s="688"/>
      <c r="H4" s="688"/>
      <c r="I4" s="688"/>
      <c r="J4" s="688"/>
      <c r="K4" s="688"/>
      <c r="L4" s="688"/>
      <c r="M4" s="688"/>
      <c r="N4" s="688"/>
      <c r="O4" s="688"/>
      <c r="P4" s="689"/>
      <c r="Q4" s="690"/>
      <c r="R4" s="688"/>
      <c r="S4" s="688"/>
      <c r="T4" s="688"/>
      <c r="U4" s="688"/>
      <c r="V4" s="688"/>
      <c r="W4" s="688"/>
      <c r="X4" s="688"/>
      <c r="Y4" s="688"/>
      <c r="Z4" s="688"/>
      <c r="AA4" s="688"/>
      <c r="AB4" s="688"/>
      <c r="AC4" s="688"/>
      <c r="AD4" s="688"/>
      <c r="AE4" s="688"/>
      <c r="AF4" s="688"/>
      <c r="AG4" s="688"/>
      <c r="AH4" s="688"/>
      <c r="AI4" s="688"/>
      <c r="AJ4" s="688"/>
      <c r="AK4" s="688"/>
      <c r="AL4" s="688"/>
      <c r="AM4" s="688"/>
      <c r="AN4" s="688"/>
      <c r="AO4" s="688"/>
      <c r="AP4" s="688"/>
      <c r="AQ4" s="688"/>
      <c r="AR4" s="688"/>
      <c r="AS4" s="688"/>
      <c r="AT4" s="688"/>
      <c r="AU4" s="688"/>
      <c r="AV4" s="688"/>
      <c r="AW4" s="688"/>
      <c r="AX4" s="688"/>
      <c r="AY4" s="688"/>
      <c r="AZ4" s="688"/>
      <c r="BA4" s="688"/>
      <c r="BB4" s="688"/>
      <c r="BC4" s="688"/>
      <c r="BD4" s="688"/>
      <c r="BE4" s="688"/>
      <c r="BF4" s="688"/>
      <c r="BG4" s="688"/>
      <c r="BH4" s="688"/>
      <c r="BI4" s="688"/>
      <c r="BJ4" s="688"/>
      <c r="BK4" s="688"/>
      <c r="BL4" s="688"/>
      <c r="BM4" s="688"/>
      <c r="BN4" s="688"/>
      <c r="BO4" s="688"/>
      <c r="BP4" s="688"/>
      <c r="BQ4" s="688"/>
      <c r="BR4" s="688"/>
      <c r="BS4" s="688"/>
      <c r="BT4" s="688"/>
      <c r="BU4" s="688"/>
      <c r="BV4" s="688"/>
      <c r="BW4" s="688"/>
      <c r="BX4" s="688"/>
      <c r="BY4" s="688"/>
      <c r="BZ4" s="688"/>
      <c r="CA4" s="688"/>
      <c r="CB4" s="688"/>
      <c r="CC4" s="688"/>
      <c r="CD4" s="688"/>
      <c r="CE4" s="688"/>
      <c r="CF4" s="688"/>
      <c r="CG4" s="688"/>
      <c r="CH4" s="688"/>
      <c r="CI4" s="688"/>
      <c r="CJ4" s="688"/>
      <c r="CK4" s="688"/>
      <c r="CL4" s="688"/>
      <c r="CM4" s="688"/>
      <c r="CN4" s="688"/>
      <c r="CO4" s="688"/>
      <c r="CP4" s="688"/>
      <c r="CQ4" s="688"/>
      <c r="CR4" s="688"/>
      <c r="CS4" s="688"/>
      <c r="CT4" s="688"/>
      <c r="CU4" s="688"/>
      <c r="CV4" s="688"/>
      <c r="CW4" s="688"/>
      <c r="CX4" s="688"/>
      <c r="CY4" s="688"/>
      <c r="CZ4" s="688"/>
      <c r="DA4" s="688"/>
      <c r="DB4" s="688"/>
      <c r="DC4" s="688"/>
      <c r="DD4" s="688"/>
      <c r="DE4" s="688"/>
      <c r="DF4" s="688"/>
      <c r="DG4" s="688"/>
      <c r="DH4" s="688"/>
      <c r="DI4" s="688"/>
      <c r="DJ4" s="688"/>
      <c r="DK4" s="688"/>
      <c r="DL4" s="688"/>
      <c r="DM4" s="688"/>
      <c r="DN4" s="688"/>
      <c r="DO4" s="688"/>
      <c r="DP4" s="688"/>
      <c r="DQ4" s="688"/>
      <c r="DR4" s="688"/>
      <c r="DS4" s="688"/>
      <c r="DT4" s="688"/>
      <c r="DU4" s="688"/>
      <c r="DV4" s="688"/>
      <c r="DW4" s="688"/>
      <c r="DX4" s="688"/>
      <c r="DY4" s="688"/>
      <c r="DZ4" s="688"/>
      <c r="EA4" s="688"/>
      <c r="EB4" s="688"/>
      <c r="EC4" s="688"/>
      <c r="ED4" s="688"/>
      <c r="EE4" s="688"/>
      <c r="EF4" s="688"/>
      <c r="EG4" s="688"/>
      <c r="EH4" s="688"/>
      <c r="EI4" s="688"/>
      <c r="EJ4" s="688"/>
      <c r="EK4" s="688"/>
      <c r="EL4" s="688"/>
      <c r="EM4" s="688"/>
      <c r="EN4" s="688"/>
      <c r="EO4" s="688"/>
      <c r="EP4" s="688"/>
      <c r="EQ4" s="688"/>
      <c r="ER4" s="688"/>
      <c r="ES4" s="688"/>
      <c r="ET4" s="688"/>
      <c r="EU4" s="688"/>
      <c r="EV4" s="688"/>
      <c r="EW4" s="688"/>
      <c r="EX4" s="688"/>
      <c r="EY4" s="688"/>
      <c r="EZ4" s="688"/>
      <c r="FA4" s="688"/>
      <c r="FB4" s="688"/>
      <c r="FC4" s="688"/>
      <c r="FD4" s="688"/>
      <c r="FE4" s="688"/>
      <c r="FF4" s="688"/>
      <c r="FG4" s="688"/>
      <c r="FH4" s="688"/>
      <c r="FI4" s="688"/>
      <c r="FJ4" s="688"/>
      <c r="FK4" s="688"/>
      <c r="FL4" s="688"/>
      <c r="FM4" s="688"/>
      <c r="FN4" s="688"/>
      <c r="FO4" s="688"/>
      <c r="FP4" s="688"/>
      <c r="FQ4" s="688"/>
      <c r="FR4" s="688"/>
      <c r="FS4" s="688"/>
      <c r="FT4" s="688"/>
      <c r="FU4" s="688"/>
      <c r="FV4" s="688"/>
      <c r="FW4" s="688"/>
      <c r="FX4" s="688"/>
      <c r="FY4" s="688"/>
      <c r="FZ4" s="688"/>
      <c r="GA4" s="688"/>
      <c r="GB4" s="688"/>
      <c r="GC4" s="688"/>
      <c r="GD4" s="688"/>
      <c r="GE4" s="688"/>
      <c r="GF4" s="688"/>
      <c r="GG4" s="688"/>
      <c r="GH4" s="688"/>
      <c r="GI4" s="688"/>
      <c r="GJ4" s="688"/>
      <c r="GK4" s="688"/>
      <c r="GL4" s="688"/>
      <c r="GM4" s="688"/>
      <c r="GN4" s="688"/>
      <c r="GO4" s="688"/>
      <c r="GP4" s="688"/>
      <c r="GQ4" s="688"/>
      <c r="GR4" s="688"/>
      <c r="GS4" s="688"/>
      <c r="GT4" s="688"/>
      <c r="GU4" s="688"/>
      <c r="GV4" s="688"/>
      <c r="GW4" s="688"/>
      <c r="GX4" s="688"/>
      <c r="GY4" s="688"/>
      <c r="GZ4" s="688"/>
      <c r="HA4" s="688"/>
      <c r="HB4" s="688"/>
      <c r="HC4" s="688"/>
      <c r="HD4" s="688"/>
      <c r="HE4" s="688"/>
      <c r="HF4" s="688"/>
      <c r="HG4" s="688"/>
      <c r="HH4" s="688"/>
      <c r="HI4" s="688"/>
      <c r="HJ4" s="688"/>
      <c r="HK4" s="688"/>
      <c r="HL4" s="688"/>
      <c r="HM4" s="688"/>
      <c r="HN4" s="688"/>
      <c r="HO4" s="688"/>
      <c r="HP4" s="688"/>
      <c r="HQ4" s="688"/>
      <c r="HR4" s="688"/>
      <c r="HS4" s="688"/>
      <c r="HT4" s="688"/>
      <c r="HU4" s="688"/>
      <c r="HV4" s="688"/>
      <c r="HW4" s="688"/>
      <c r="HX4" s="688"/>
      <c r="HY4" s="688"/>
      <c r="HZ4" s="688"/>
      <c r="IA4" s="688"/>
      <c r="IB4" s="688"/>
      <c r="IC4" s="688"/>
      <c r="ID4" s="688"/>
      <c r="IE4" s="688"/>
      <c r="IF4" s="688"/>
      <c r="IG4" s="688"/>
      <c r="IH4" s="688"/>
      <c r="II4" s="688"/>
      <c r="IJ4" s="688"/>
      <c r="IK4" s="688"/>
      <c r="IL4" s="688"/>
      <c r="IM4" s="688"/>
      <c r="IN4" s="688"/>
      <c r="IO4" s="688"/>
      <c r="IP4" s="688"/>
      <c r="IQ4" s="688"/>
      <c r="IR4" s="688"/>
      <c r="IS4" s="688"/>
      <c r="IT4" s="688"/>
      <c r="IU4" s="688"/>
      <c r="IV4" s="688"/>
      <c r="IW4" s="688"/>
      <c r="IX4" s="688"/>
      <c r="IY4" s="688"/>
      <c r="IZ4" s="688"/>
      <c r="JA4" s="688"/>
      <c r="JB4" s="688"/>
      <c r="JC4" s="688"/>
      <c r="JD4" s="688"/>
      <c r="JE4" s="688"/>
      <c r="JF4" s="688"/>
      <c r="JG4" s="688"/>
      <c r="JH4" s="688"/>
      <c r="JI4" s="688"/>
      <c r="JJ4" s="688"/>
      <c r="JK4" s="688"/>
      <c r="JL4" s="688"/>
      <c r="JM4" s="688"/>
      <c r="JN4" s="688"/>
      <c r="JO4" s="688"/>
      <c r="JP4" s="688"/>
      <c r="JQ4" s="688"/>
      <c r="JR4" s="688"/>
      <c r="JS4" s="688"/>
      <c r="JT4" s="688"/>
      <c r="JU4" s="688"/>
      <c r="JV4" s="688"/>
      <c r="JW4" s="688"/>
      <c r="JX4" s="688"/>
      <c r="JY4" s="688"/>
      <c r="JZ4" s="688"/>
      <c r="KA4" s="688"/>
      <c r="KB4" s="688"/>
      <c r="KC4" s="688"/>
      <c r="KD4" s="688"/>
      <c r="KE4" s="688"/>
      <c r="KF4" s="688"/>
      <c r="KG4" s="688"/>
      <c r="KH4" s="688"/>
      <c r="KI4" s="688"/>
      <c r="KJ4" s="688"/>
      <c r="KK4" s="688"/>
      <c r="KL4" s="688"/>
      <c r="KM4" s="688"/>
      <c r="KN4" s="688"/>
      <c r="KO4" s="688"/>
      <c r="KP4" s="688"/>
      <c r="KQ4" s="688"/>
      <c r="KR4" s="688"/>
      <c r="KS4" s="688"/>
      <c r="KT4" s="688"/>
      <c r="KU4" s="688"/>
      <c r="KV4" s="688"/>
      <c r="KW4" s="688"/>
      <c r="KX4" s="688"/>
      <c r="KY4" s="688"/>
      <c r="KZ4" s="688"/>
      <c r="LA4" s="688"/>
      <c r="LB4" s="688"/>
      <c r="LC4" s="688"/>
      <c r="LD4" s="688"/>
      <c r="LE4" s="688"/>
      <c r="LF4" s="688"/>
      <c r="LG4" s="688"/>
      <c r="LH4" s="688"/>
      <c r="LI4" s="688"/>
      <c r="LJ4" s="688"/>
      <c r="LK4" s="688"/>
      <c r="LL4" s="688"/>
      <c r="LM4" s="688"/>
      <c r="LN4" s="688"/>
      <c r="LO4" s="688"/>
      <c r="LP4" s="688"/>
      <c r="LQ4" s="688"/>
      <c r="LR4" s="688"/>
      <c r="LS4" s="688"/>
      <c r="LT4" s="688"/>
      <c r="LU4" s="688"/>
      <c r="LV4" s="688"/>
      <c r="LW4" s="688"/>
      <c r="LX4" s="688"/>
      <c r="LY4" s="688"/>
      <c r="LZ4" s="688"/>
      <c r="MA4" s="688"/>
      <c r="MB4" s="688"/>
      <c r="MC4" s="688"/>
      <c r="MD4" s="688"/>
      <c r="ME4" s="688"/>
      <c r="MF4" s="688"/>
      <c r="MG4" s="688"/>
      <c r="MH4" s="688"/>
      <c r="MI4" s="688"/>
      <c r="MJ4" s="688"/>
      <c r="MK4" s="688"/>
      <c r="ML4" s="688"/>
      <c r="MM4" s="688"/>
      <c r="MN4" s="688"/>
      <c r="MO4" s="688"/>
      <c r="MP4" s="688"/>
      <c r="MQ4" s="688"/>
      <c r="MR4" s="688"/>
      <c r="MS4" s="688"/>
      <c r="MT4" s="688"/>
      <c r="MU4" s="688"/>
      <c r="MV4" s="688"/>
      <c r="MW4" s="688"/>
      <c r="MX4" s="688"/>
      <c r="MY4" s="688"/>
      <c r="MZ4" s="688"/>
      <c r="NA4" s="688"/>
      <c r="NB4" s="688"/>
      <c r="NC4" s="688"/>
      <c r="ND4" s="688"/>
      <c r="NE4" s="688"/>
      <c r="NF4" s="688"/>
      <c r="NG4" s="688"/>
      <c r="NH4" s="688"/>
      <c r="NI4" s="688"/>
      <c r="NJ4" s="688"/>
      <c r="NK4" s="688"/>
      <c r="NL4" s="688"/>
      <c r="NM4" s="688"/>
      <c r="NN4" s="688"/>
      <c r="NO4" s="688"/>
      <c r="NP4" s="688"/>
      <c r="NQ4" s="688"/>
      <c r="NR4" s="688"/>
      <c r="NS4" s="688"/>
      <c r="NT4" s="688"/>
      <c r="NU4" s="688"/>
      <c r="NV4" s="688"/>
      <c r="NW4" s="688"/>
      <c r="NX4" s="688"/>
      <c r="NY4" s="688"/>
      <c r="NZ4" s="688"/>
      <c r="OA4" s="688"/>
      <c r="OB4" s="688"/>
      <c r="OC4" s="688"/>
      <c r="OD4" s="688"/>
      <c r="OE4" s="688"/>
      <c r="OF4" s="688"/>
      <c r="OG4" s="688"/>
      <c r="OH4" s="688"/>
      <c r="OI4" s="688"/>
      <c r="OJ4" s="688"/>
      <c r="OK4" s="688"/>
      <c r="OL4" s="688"/>
      <c r="OM4" s="688"/>
      <c r="ON4" s="688"/>
      <c r="OO4" s="688"/>
      <c r="OP4" s="688"/>
      <c r="OQ4" s="688"/>
      <c r="OR4" s="688"/>
      <c r="OS4" s="688"/>
      <c r="OT4" s="688"/>
      <c r="OU4" s="688"/>
      <c r="OV4" s="688"/>
      <c r="OW4" s="688"/>
      <c r="OX4" s="688"/>
      <c r="OY4" s="688"/>
      <c r="OZ4" s="688"/>
      <c r="PA4" s="688"/>
      <c r="PB4" s="688"/>
      <c r="PC4" s="688"/>
      <c r="PD4" s="688"/>
      <c r="PE4" s="688"/>
      <c r="PF4" s="688"/>
      <c r="PG4" s="688"/>
      <c r="PH4" s="688"/>
      <c r="PI4" s="688"/>
      <c r="PJ4" s="688"/>
      <c r="PK4" s="688"/>
      <c r="PL4" s="688"/>
      <c r="PM4" s="688"/>
      <c r="PN4" s="688"/>
      <c r="PO4" s="688"/>
      <c r="PP4" s="688"/>
      <c r="PQ4" s="688"/>
      <c r="PR4" s="688"/>
      <c r="PS4" s="688"/>
      <c r="PT4" s="688"/>
      <c r="PU4" s="688"/>
      <c r="PV4" s="688"/>
      <c r="PW4" s="688"/>
      <c r="PX4" s="688"/>
      <c r="PY4" s="688"/>
      <c r="PZ4" s="688"/>
      <c r="QA4" s="688"/>
      <c r="QB4" s="688"/>
      <c r="QC4" s="688"/>
      <c r="QD4" s="688"/>
      <c r="QE4" s="688"/>
      <c r="QF4" s="688"/>
      <c r="QG4" s="688"/>
      <c r="QH4" s="688"/>
      <c r="QI4" s="688"/>
      <c r="QJ4" s="688"/>
      <c r="QK4" s="688"/>
      <c r="QL4" s="688"/>
      <c r="QM4" s="688"/>
      <c r="QN4" s="688"/>
      <c r="QO4" s="688"/>
      <c r="QP4" s="688"/>
      <c r="QQ4" s="688"/>
      <c r="QR4" s="688"/>
      <c r="QS4" s="688"/>
      <c r="QT4" s="688"/>
      <c r="QU4" s="688"/>
      <c r="QV4" s="688"/>
      <c r="QW4" s="688"/>
      <c r="QX4" s="688"/>
      <c r="QY4" s="688"/>
      <c r="QZ4" s="688"/>
      <c r="RA4" s="688"/>
      <c r="RB4" s="688"/>
      <c r="RC4" s="688"/>
      <c r="RD4" s="688"/>
      <c r="RE4" s="688"/>
      <c r="RF4" s="688"/>
      <c r="RG4" s="688"/>
      <c r="RH4" s="688"/>
      <c r="RI4" s="688"/>
      <c r="RJ4" s="688"/>
      <c r="RK4" s="688"/>
      <c r="RL4" s="688"/>
      <c r="RM4" s="688"/>
      <c r="RN4" s="688"/>
      <c r="RO4" s="688"/>
      <c r="RP4" s="688"/>
      <c r="RQ4" s="688"/>
      <c r="RR4" s="688"/>
      <c r="RS4" s="688"/>
      <c r="RT4" s="688"/>
      <c r="RU4" s="688"/>
      <c r="RV4" s="688"/>
      <c r="RW4" s="688"/>
      <c r="RX4" s="688"/>
      <c r="RY4" s="688"/>
      <c r="RZ4" s="688"/>
      <c r="SA4" s="688"/>
      <c r="SB4" s="688"/>
      <c r="SC4" s="688"/>
      <c r="SD4" s="688"/>
      <c r="SE4" s="688"/>
      <c r="SF4" s="688"/>
      <c r="SG4" s="688"/>
      <c r="SH4" s="688"/>
      <c r="SI4" s="688"/>
      <c r="SJ4" s="688"/>
      <c r="SK4" s="688"/>
      <c r="SL4" s="688"/>
      <c r="SM4" s="688"/>
      <c r="SN4" s="688"/>
      <c r="SO4" s="688"/>
      <c r="SP4" s="688"/>
      <c r="SQ4" s="688"/>
      <c r="SR4" s="688"/>
      <c r="SS4" s="688"/>
      <c r="ST4" s="688"/>
      <c r="SU4" s="688"/>
      <c r="SV4" s="688"/>
      <c r="SW4" s="688"/>
      <c r="SX4" s="688"/>
      <c r="SY4" s="688"/>
      <c r="SZ4" s="688"/>
      <c r="TA4" s="688"/>
      <c r="TB4" s="688"/>
      <c r="TC4" s="688"/>
      <c r="TD4" s="688"/>
      <c r="TE4" s="688"/>
      <c r="TF4" s="688"/>
      <c r="TG4" s="688"/>
      <c r="TH4" s="688"/>
      <c r="TI4" s="688"/>
      <c r="TJ4" s="688"/>
      <c r="TK4" s="688"/>
      <c r="TL4" s="688"/>
      <c r="TM4" s="688"/>
      <c r="TN4" s="688"/>
      <c r="TO4" s="688"/>
      <c r="TP4" s="688"/>
      <c r="TQ4" s="688"/>
      <c r="TR4" s="688"/>
      <c r="TS4" s="688"/>
      <c r="TT4" s="688"/>
      <c r="TU4" s="688"/>
      <c r="TV4" s="688"/>
      <c r="TW4" s="688"/>
      <c r="TX4" s="688"/>
      <c r="TY4" s="688"/>
      <c r="TZ4" s="688"/>
      <c r="UA4" s="688"/>
      <c r="UB4" s="688"/>
      <c r="UC4" s="688"/>
      <c r="UD4" s="688"/>
      <c r="UE4" s="688"/>
      <c r="UF4" s="688"/>
      <c r="UG4" s="688"/>
      <c r="UH4" s="688"/>
      <c r="UI4" s="688"/>
      <c r="UJ4" s="688"/>
      <c r="UK4" s="688"/>
      <c r="UL4" s="688"/>
      <c r="UM4" s="688"/>
      <c r="UN4" s="688"/>
      <c r="UO4" s="688"/>
      <c r="UP4" s="688"/>
      <c r="UQ4" s="688"/>
      <c r="UR4" s="688"/>
      <c r="US4" s="688"/>
      <c r="UT4" s="688"/>
      <c r="UU4" s="688"/>
      <c r="UV4" s="688"/>
      <c r="UW4" s="688"/>
      <c r="UX4" s="688"/>
      <c r="UY4" s="688"/>
      <c r="UZ4" s="688"/>
      <c r="VA4" s="688"/>
      <c r="VB4" s="688"/>
      <c r="VC4" s="688"/>
      <c r="VD4" s="688"/>
      <c r="VE4" s="688"/>
      <c r="VF4" s="688"/>
      <c r="VG4" s="688"/>
      <c r="VH4" s="688"/>
      <c r="VI4" s="688"/>
      <c r="VJ4" s="688"/>
      <c r="VK4" s="688"/>
      <c r="VL4" s="688"/>
      <c r="VM4" s="688"/>
      <c r="VN4" s="688"/>
      <c r="VO4" s="688"/>
      <c r="VP4" s="688"/>
      <c r="VQ4" s="688"/>
      <c r="VR4" s="688"/>
      <c r="VS4" s="688"/>
      <c r="VT4" s="688"/>
      <c r="VU4" s="688"/>
      <c r="VV4" s="688"/>
      <c r="VW4" s="688"/>
      <c r="VX4" s="688"/>
      <c r="VY4" s="688"/>
      <c r="VZ4" s="688"/>
      <c r="WA4" s="688"/>
      <c r="WB4" s="688"/>
      <c r="WC4" s="688"/>
      <c r="WD4" s="688"/>
      <c r="WE4" s="688"/>
      <c r="WF4" s="688"/>
      <c r="WG4" s="688"/>
      <c r="WH4" s="688"/>
      <c r="WI4" s="688"/>
      <c r="WJ4" s="688"/>
      <c r="WK4" s="688"/>
      <c r="WL4" s="688"/>
      <c r="WM4" s="688"/>
      <c r="WN4" s="688"/>
      <c r="WO4" s="688"/>
      <c r="WP4" s="688"/>
      <c r="WQ4" s="688"/>
      <c r="WR4" s="688"/>
      <c r="WS4" s="688"/>
      <c r="WT4" s="688"/>
      <c r="WU4" s="688"/>
      <c r="WV4" s="688"/>
      <c r="WW4" s="688"/>
      <c r="WX4" s="688"/>
      <c r="WY4" s="688"/>
      <c r="WZ4" s="688"/>
      <c r="XA4" s="688"/>
      <c r="XB4" s="688"/>
      <c r="XC4" s="688"/>
      <c r="XD4" s="688"/>
      <c r="XE4" s="688"/>
      <c r="XF4" s="688"/>
      <c r="XG4" s="688"/>
      <c r="XH4" s="688"/>
      <c r="XI4" s="688"/>
      <c r="XJ4" s="688"/>
      <c r="XK4" s="688"/>
      <c r="XL4" s="688"/>
      <c r="XM4" s="688"/>
      <c r="XN4" s="688"/>
      <c r="XO4" s="688"/>
      <c r="XP4" s="688"/>
      <c r="XQ4" s="688"/>
      <c r="XR4" s="688"/>
      <c r="XS4" s="688"/>
      <c r="XT4" s="688"/>
      <c r="XU4" s="688"/>
      <c r="XV4" s="688"/>
      <c r="XW4" s="688"/>
      <c r="XX4" s="688"/>
      <c r="XY4" s="688"/>
      <c r="XZ4" s="688"/>
      <c r="YA4" s="688"/>
      <c r="YB4" s="688"/>
      <c r="YC4" s="688"/>
      <c r="YD4" s="688"/>
      <c r="YE4" s="688"/>
      <c r="YF4" s="688"/>
      <c r="YG4" s="688"/>
      <c r="YH4" s="688"/>
      <c r="YI4" s="688"/>
      <c r="YJ4" s="688"/>
      <c r="YK4" s="688"/>
      <c r="YL4" s="688"/>
      <c r="YM4" s="688"/>
      <c r="YN4" s="688"/>
      <c r="YO4" s="688"/>
      <c r="YP4" s="688"/>
      <c r="YQ4" s="688"/>
      <c r="YR4" s="688"/>
      <c r="YS4" s="688"/>
      <c r="YT4" s="688"/>
      <c r="YU4" s="688"/>
      <c r="YV4" s="688"/>
      <c r="YW4" s="688"/>
      <c r="YX4" s="688"/>
      <c r="YY4" s="688"/>
      <c r="YZ4" s="688"/>
      <c r="ZA4" s="688"/>
      <c r="ZB4" s="688"/>
      <c r="ZC4" s="688"/>
      <c r="ZD4" s="688"/>
      <c r="ZE4" s="688"/>
      <c r="ZF4" s="688"/>
      <c r="ZG4" s="688"/>
      <c r="ZH4" s="688"/>
      <c r="ZI4" s="688"/>
      <c r="ZJ4" s="688"/>
      <c r="ZK4" s="688"/>
      <c r="ZL4" s="688"/>
      <c r="ZM4" s="688"/>
      <c r="ZN4" s="688"/>
      <c r="ZO4" s="688"/>
      <c r="ZP4" s="688"/>
      <c r="ZQ4" s="688"/>
      <c r="ZR4" s="688"/>
      <c r="ZS4" s="688"/>
      <c r="ZT4" s="688"/>
      <c r="ZU4" s="688"/>
      <c r="ZV4" s="688"/>
      <c r="ZW4" s="688"/>
      <c r="ZX4" s="688"/>
      <c r="ZY4" s="688"/>
      <c r="ZZ4" s="688"/>
      <c r="AAA4" s="688"/>
      <c r="AAB4" s="688"/>
      <c r="AAC4" s="688"/>
      <c r="AAD4" s="688"/>
      <c r="AAE4" s="688"/>
      <c r="AAF4" s="688"/>
      <c r="AAG4" s="688"/>
      <c r="AAH4" s="688"/>
      <c r="AAI4" s="688"/>
      <c r="AAJ4" s="688"/>
      <c r="AAK4" s="688"/>
      <c r="AAL4" s="688"/>
      <c r="AAM4" s="688"/>
      <c r="AAN4" s="688"/>
      <c r="AAO4" s="688"/>
      <c r="AAP4" s="688"/>
      <c r="AAQ4" s="688"/>
      <c r="AAR4" s="688"/>
      <c r="AAS4" s="688"/>
      <c r="AAT4" s="688"/>
      <c r="AAU4" s="688"/>
      <c r="AAV4" s="688"/>
      <c r="AAW4" s="688"/>
      <c r="AAX4" s="688"/>
      <c r="AAY4" s="688"/>
      <c r="AAZ4" s="688"/>
      <c r="ABA4" s="688"/>
      <c r="ABB4" s="688"/>
      <c r="ABC4" s="688"/>
      <c r="ABD4" s="688"/>
      <c r="ABE4" s="688"/>
      <c r="ABF4" s="688"/>
      <c r="ABG4" s="688"/>
      <c r="ABH4" s="688"/>
      <c r="ABI4" s="688"/>
      <c r="ABJ4" s="688"/>
      <c r="ABK4" s="688"/>
      <c r="ABL4" s="688"/>
      <c r="ABM4" s="688"/>
      <c r="ABN4" s="688"/>
      <c r="ABO4" s="688"/>
      <c r="ABP4" s="688"/>
      <c r="ABQ4" s="688"/>
      <c r="ABR4" s="688"/>
      <c r="ABS4" s="688"/>
      <c r="ABT4" s="688"/>
      <c r="ABU4" s="688"/>
      <c r="ABV4" s="688"/>
      <c r="ABW4" s="688"/>
      <c r="ABX4" s="688"/>
      <c r="ABY4" s="688"/>
      <c r="ABZ4" s="688"/>
      <c r="ACA4" s="688"/>
      <c r="ACB4" s="688"/>
      <c r="ACC4" s="688"/>
      <c r="ACD4" s="688"/>
      <c r="ACE4" s="688"/>
      <c r="ACF4" s="688"/>
      <c r="ACG4" s="688"/>
      <c r="ACH4" s="688"/>
      <c r="ACI4" s="688"/>
      <c r="ACJ4" s="688"/>
      <c r="ACK4" s="688"/>
      <c r="ACL4" s="688"/>
      <c r="ACM4" s="688"/>
      <c r="ACN4" s="688"/>
      <c r="ACO4" s="688"/>
      <c r="ACP4" s="688"/>
      <c r="ACQ4" s="688"/>
      <c r="ACR4" s="688"/>
      <c r="ACS4" s="688"/>
      <c r="ACT4" s="688"/>
      <c r="ACU4" s="688"/>
      <c r="ACV4" s="688"/>
      <c r="ACW4" s="688"/>
      <c r="ACX4" s="688"/>
      <c r="ACY4" s="688"/>
      <c r="ACZ4" s="688"/>
      <c r="ADA4" s="688"/>
      <c r="ADB4" s="688"/>
      <c r="ADC4" s="688"/>
      <c r="ADD4" s="688"/>
      <c r="ADE4" s="688"/>
      <c r="ADF4" s="688"/>
      <c r="ADG4" s="688"/>
      <c r="ADH4" s="688"/>
      <c r="ADI4" s="688"/>
      <c r="ADJ4" s="688"/>
      <c r="ADK4" s="688"/>
      <c r="ADL4" s="688"/>
      <c r="ADM4" s="688"/>
      <c r="ADN4" s="688"/>
      <c r="ADO4" s="688"/>
      <c r="ADP4" s="688"/>
      <c r="ADQ4" s="688"/>
      <c r="ADR4" s="688"/>
      <c r="ADS4" s="688"/>
      <c r="ADT4" s="688"/>
      <c r="ADU4" s="688"/>
      <c r="ADV4" s="688"/>
      <c r="ADW4" s="688"/>
      <c r="ADX4" s="688"/>
      <c r="ADY4" s="688"/>
      <c r="ADZ4" s="688"/>
      <c r="AEA4" s="688"/>
      <c r="AEB4" s="688"/>
      <c r="AEC4" s="688"/>
      <c r="AED4" s="688"/>
      <c r="AEE4" s="688"/>
      <c r="AEF4" s="688"/>
      <c r="AEG4" s="688"/>
      <c r="AEH4" s="688"/>
      <c r="AEI4" s="688"/>
      <c r="AEJ4" s="688"/>
      <c r="AEK4" s="688"/>
      <c r="AEL4" s="688"/>
      <c r="AEM4" s="688"/>
      <c r="AEN4" s="688"/>
      <c r="AEO4" s="688"/>
      <c r="AEP4" s="688"/>
      <c r="AEQ4" s="688"/>
      <c r="AER4" s="688"/>
      <c r="AES4" s="688"/>
      <c r="AET4" s="688"/>
      <c r="AEU4" s="688"/>
      <c r="AEV4" s="688"/>
      <c r="AEW4" s="688"/>
      <c r="AEX4" s="688"/>
      <c r="AEY4" s="688"/>
      <c r="AEZ4" s="688"/>
      <c r="AFA4" s="688"/>
      <c r="AFB4" s="688"/>
      <c r="AFC4" s="688"/>
      <c r="AFD4" s="688"/>
      <c r="AFE4" s="688"/>
      <c r="AFF4" s="688"/>
      <c r="AFG4" s="688"/>
      <c r="AFH4" s="688"/>
      <c r="AFI4" s="688"/>
      <c r="AFJ4" s="688"/>
      <c r="AFK4" s="688"/>
      <c r="AFL4" s="688"/>
      <c r="AFM4" s="688"/>
      <c r="AFN4" s="688"/>
      <c r="AFO4" s="688"/>
      <c r="AFP4" s="688"/>
      <c r="AFQ4" s="688"/>
      <c r="AFR4" s="688"/>
      <c r="AFS4" s="688"/>
      <c r="AFT4" s="688"/>
      <c r="AFU4" s="688"/>
      <c r="AFV4" s="688"/>
      <c r="AFW4" s="688"/>
      <c r="AFX4" s="688"/>
      <c r="AFY4" s="688"/>
      <c r="AFZ4" s="688"/>
      <c r="AGA4" s="688"/>
      <c r="AGB4" s="688"/>
      <c r="AGC4" s="688"/>
      <c r="AGD4" s="688"/>
      <c r="AGE4" s="688"/>
      <c r="AGF4" s="688"/>
      <c r="AGG4" s="688"/>
      <c r="AGH4" s="688"/>
      <c r="AGI4" s="688"/>
      <c r="AGJ4" s="688"/>
      <c r="AGK4" s="688"/>
      <c r="AGL4" s="688"/>
      <c r="AGM4" s="688"/>
      <c r="AGN4" s="688"/>
      <c r="AGO4" s="688"/>
      <c r="AGP4" s="688"/>
      <c r="AGQ4" s="688"/>
      <c r="AGR4" s="688"/>
      <c r="AGS4" s="688"/>
      <c r="AGT4" s="688"/>
      <c r="AGU4" s="688"/>
      <c r="AGV4" s="688"/>
      <c r="AGW4" s="688"/>
      <c r="AGX4" s="688"/>
      <c r="AGY4" s="688"/>
      <c r="AGZ4" s="688"/>
      <c r="AHA4" s="688"/>
      <c r="AHB4" s="688"/>
      <c r="AHC4" s="688"/>
      <c r="AHD4" s="688"/>
      <c r="AHE4" s="688"/>
      <c r="AHF4" s="688"/>
      <c r="AHG4" s="688"/>
      <c r="AHH4" s="688"/>
      <c r="AHI4" s="688"/>
      <c r="AHJ4" s="688"/>
      <c r="AHK4" s="688"/>
      <c r="AHL4" s="688"/>
      <c r="AHM4" s="688"/>
      <c r="AHN4" s="688"/>
      <c r="AHO4" s="688"/>
      <c r="AHP4" s="688"/>
      <c r="AHQ4" s="688"/>
      <c r="AHR4" s="688"/>
      <c r="AHS4" s="688"/>
      <c r="AHT4" s="688"/>
      <c r="AHU4" s="688"/>
      <c r="AHV4" s="688"/>
      <c r="AHW4" s="688"/>
      <c r="AHX4" s="688"/>
      <c r="AHY4" s="688"/>
      <c r="AHZ4" s="688"/>
      <c r="AIA4" s="688"/>
      <c r="AIB4" s="688"/>
      <c r="AIC4" s="688"/>
      <c r="AID4" s="688"/>
      <c r="AIE4" s="688"/>
      <c r="AIF4" s="688"/>
      <c r="AIG4" s="688"/>
      <c r="AIH4" s="688"/>
      <c r="AII4" s="688"/>
      <c r="AIJ4" s="688"/>
      <c r="AIK4" s="688"/>
      <c r="AIL4" s="688"/>
      <c r="AIM4" s="688"/>
      <c r="AIN4" s="688"/>
      <c r="AIO4" s="688"/>
      <c r="AIP4" s="688"/>
      <c r="AIQ4" s="688"/>
      <c r="AIR4" s="688"/>
      <c r="AIS4" s="688"/>
      <c r="AIT4" s="688"/>
      <c r="AIU4" s="688"/>
      <c r="AIV4" s="688"/>
      <c r="AIW4" s="688"/>
      <c r="AIX4" s="688"/>
      <c r="AIY4" s="688"/>
      <c r="AIZ4" s="688"/>
      <c r="AJA4" s="688"/>
      <c r="AJB4" s="688"/>
      <c r="AJC4" s="688"/>
      <c r="AJD4" s="688"/>
      <c r="AJE4" s="688"/>
      <c r="AJF4" s="688"/>
      <c r="AJG4" s="688"/>
      <c r="AJH4" s="688"/>
      <c r="AJI4" s="688"/>
      <c r="AJJ4" s="688"/>
      <c r="AJK4" s="688"/>
      <c r="AJL4" s="688"/>
      <c r="AJM4" s="688"/>
      <c r="AJN4" s="688"/>
      <c r="AJO4" s="688"/>
      <c r="AJP4" s="688"/>
      <c r="AJQ4" s="688"/>
      <c r="AJR4" s="688"/>
      <c r="AJS4" s="688"/>
      <c r="AJT4" s="688"/>
      <c r="AJU4" s="688"/>
      <c r="AJV4" s="688"/>
      <c r="AJW4" s="688"/>
      <c r="AJX4" s="688"/>
      <c r="AJY4" s="688"/>
      <c r="AJZ4" s="688"/>
      <c r="AKA4" s="688"/>
      <c r="AKB4" s="688"/>
      <c r="AKC4" s="688"/>
      <c r="AKD4" s="688"/>
      <c r="AKE4" s="688"/>
      <c r="AKF4" s="688"/>
      <c r="AKG4" s="688"/>
      <c r="AKH4" s="688"/>
      <c r="AKI4" s="688"/>
      <c r="AKJ4" s="688"/>
      <c r="AKK4" s="688"/>
      <c r="AKL4" s="688"/>
      <c r="AKM4" s="688"/>
      <c r="AKN4" s="688"/>
      <c r="AKO4" s="688"/>
      <c r="AKP4" s="688"/>
      <c r="AKQ4" s="688"/>
      <c r="AKR4" s="688"/>
      <c r="AKS4" s="688"/>
      <c r="AKT4" s="688"/>
      <c r="AKU4" s="688"/>
      <c r="AKV4" s="688"/>
      <c r="AKW4" s="688"/>
      <c r="AKX4" s="688"/>
      <c r="AKY4" s="688"/>
      <c r="AKZ4" s="688"/>
      <c r="ALA4" s="688"/>
      <c r="ALB4" s="688"/>
      <c r="ALC4" s="688"/>
      <c r="ALD4" s="688"/>
      <c r="ALE4" s="688"/>
      <c r="ALF4" s="688"/>
      <c r="ALG4" s="688"/>
      <c r="ALH4" s="688"/>
      <c r="ALI4" s="688"/>
      <c r="ALJ4" s="688"/>
      <c r="ALK4" s="688"/>
      <c r="ALL4" s="688"/>
      <c r="ALM4" s="688"/>
      <c r="ALN4" s="688"/>
      <c r="ALO4" s="688"/>
      <c r="ALP4" s="688"/>
      <c r="ALQ4" s="688"/>
      <c r="ALR4" s="688"/>
      <c r="ALS4" s="688"/>
      <c r="ALT4" s="688"/>
      <c r="ALU4" s="688"/>
      <c r="ALV4" s="688"/>
      <c r="ALW4" s="688"/>
      <c r="ALX4" s="688"/>
      <c r="ALY4" s="688"/>
      <c r="ALZ4" s="688"/>
      <c r="AMA4" s="688"/>
      <c r="AMB4" s="688"/>
      <c r="AMC4" s="688"/>
      <c r="AMD4" s="688"/>
      <c r="AME4" s="688"/>
      <c r="AMF4" s="688"/>
      <c r="AMG4" s="688"/>
      <c r="AMH4" s="688"/>
      <c r="AMI4" s="688"/>
      <c r="AMJ4" s="688"/>
    </row>
    <row r="5" spans="1:1024" s="697" customFormat="1" ht="49.5" customHeight="1">
      <c r="A5" s="696"/>
      <c r="B5" s="1650" t="s">
        <v>699</v>
      </c>
      <c r="C5" s="1650"/>
      <c r="D5" s="1650"/>
      <c r="E5" s="1650"/>
      <c r="F5" s="1650"/>
      <c r="P5" s="689"/>
      <c r="Q5" s="690"/>
    </row>
    <row r="6" spans="1:1024" ht="42.75" customHeight="1">
      <c r="A6" s="696"/>
      <c r="B6" s="698"/>
      <c r="C6" s="699" t="s">
        <v>700</v>
      </c>
      <c r="D6" s="1651" t="e">
        <f>#REF!</f>
        <v>#REF!</v>
      </c>
      <c r="E6" s="1651"/>
      <c r="F6" s="1651"/>
      <c r="G6" s="688"/>
      <c r="H6" s="688"/>
      <c r="I6" s="688"/>
      <c r="J6" s="688"/>
      <c r="K6" s="688"/>
      <c r="L6" s="688"/>
      <c r="M6" s="688"/>
      <c r="N6" s="688"/>
      <c r="O6" s="688"/>
      <c r="P6" s="688"/>
      <c r="Q6" s="688"/>
      <c r="R6" s="688"/>
      <c r="S6" s="688"/>
      <c r="T6" s="688"/>
      <c r="U6" s="688"/>
      <c r="V6" s="688"/>
      <c r="W6" s="688"/>
      <c r="X6" s="688"/>
      <c r="Y6" s="688"/>
      <c r="Z6" s="688"/>
      <c r="AA6" s="688"/>
      <c r="AB6" s="688"/>
      <c r="AC6" s="688"/>
      <c r="AD6" s="688"/>
      <c r="AE6" s="688"/>
      <c r="AF6" s="688"/>
      <c r="AG6" s="688"/>
      <c r="AH6" s="688"/>
      <c r="AI6" s="688"/>
      <c r="AJ6" s="688"/>
      <c r="AK6" s="688"/>
      <c r="AL6" s="688"/>
      <c r="AM6" s="688"/>
      <c r="AN6" s="688"/>
      <c r="AO6" s="688"/>
      <c r="AP6" s="688"/>
      <c r="AQ6" s="688"/>
      <c r="AR6" s="688"/>
      <c r="AS6" s="688"/>
      <c r="AT6" s="688"/>
      <c r="AU6" s="688"/>
      <c r="AV6" s="688"/>
      <c r="AW6" s="688"/>
      <c r="AX6" s="688"/>
      <c r="AY6" s="688"/>
      <c r="AZ6" s="688"/>
      <c r="BA6" s="688"/>
      <c r="BB6" s="688"/>
      <c r="BC6" s="688"/>
      <c r="BD6" s="688"/>
      <c r="BE6" s="688"/>
      <c r="BF6" s="688"/>
      <c r="BG6" s="688"/>
      <c r="BH6" s="688"/>
      <c r="BI6" s="688"/>
      <c r="BJ6" s="688"/>
      <c r="BK6" s="688"/>
      <c r="BL6" s="688"/>
      <c r="BM6" s="688"/>
      <c r="BN6" s="688"/>
      <c r="BO6" s="688"/>
      <c r="BP6" s="688"/>
      <c r="BQ6" s="688"/>
      <c r="BR6" s="688"/>
      <c r="BS6" s="688"/>
      <c r="BT6" s="688"/>
      <c r="BU6" s="688"/>
      <c r="BV6" s="688"/>
      <c r="BW6" s="688"/>
      <c r="BX6" s="688"/>
      <c r="BY6" s="688"/>
      <c r="BZ6" s="688"/>
      <c r="CA6" s="688"/>
      <c r="CB6" s="688"/>
      <c r="CC6" s="688"/>
      <c r="CD6" s="688"/>
      <c r="CE6" s="688"/>
      <c r="CF6" s="688"/>
      <c r="CG6" s="688"/>
      <c r="CH6" s="688"/>
      <c r="CI6" s="688"/>
      <c r="CJ6" s="688"/>
      <c r="CK6" s="688"/>
      <c r="CL6" s="688"/>
      <c r="CM6" s="688"/>
      <c r="CN6" s="688"/>
      <c r="CO6" s="688"/>
      <c r="CP6" s="688"/>
      <c r="CQ6" s="688"/>
      <c r="CR6" s="688"/>
      <c r="CS6" s="688"/>
      <c r="CT6" s="688"/>
      <c r="CU6" s="688"/>
      <c r="CV6" s="688"/>
      <c r="CW6" s="688"/>
      <c r="CX6" s="688"/>
      <c r="CY6" s="688"/>
      <c r="CZ6" s="688"/>
      <c r="DA6" s="688"/>
      <c r="DB6" s="688"/>
      <c r="DC6" s="688"/>
      <c r="DD6" s="688"/>
      <c r="DE6" s="688"/>
      <c r="DF6" s="688"/>
      <c r="DG6" s="688"/>
      <c r="DH6" s="688"/>
      <c r="DI6" s="688"/>
      <c r="DJ6" s="688"/>
      <c r="DK6" s="688"/>
      <c r="DL6" s="688"/>
      <c r="DM6" s="688"/>
      <c r="DN6" s="688"/>
      <c r="DO6" s="688"/>
      <c r="DP6" s="688"/>
      <c r="DQ6" s="688"/>
      <c r="DR6" s="688"/>
      <c r="DS6" s="688"/>
      <c r="DT6" s="688"/>
      <c r="DU6" s="688"/>
      <c r="DV6" s="688"/>
      <c r="DW6" s="688"/>
      <c r="DX6" s="688"/>
      <c r="DY6" s="688"/>
      <c r="DZ6" s="688"/>
      <c r="EA6" s="688"/>
      <c r="EB6" s="688"/>
      <c r="EC6" s="688"/>
      <c r="ED6" s="688"/>
      <c r="EE6" s="688"/>
      <c r="EF6" s="688"/>
      <c r="EG6" s="688"/>
      <c r="EH6" s="688"/>
      <c r="EI6" s="688"/>
      <c r="EJ6" s="688"/>
      <c r="EK6" s="688"/>
      <c r="EL6" s="688"/>
      <c r="EM6" s="688"/>
      <c r="EN6" s="688"/>
      <c r="EO6" s="688"/>
      <c r="EP6" s="688"/>
      <c r="EQ6" s="688"/>
      <c r="ER6" s="688"/>
      <c r="ES6" s="688"/>
      <c r="ET6" s="688"/>
      <c r="EU6" s="688"/>
      <c r="EV6" s="688"/>
      <c r="EW6" s="688"/>
      <c r="EX6" s="688"/>
      <c r="EY6" s="688"/>
      <c r="EZ6" s="688"/>
      <c r="FA6" s="688"/>
      <c r="FB6" s="688"/>
      <c r="FC6" s="688"/>
      <c r="FD6" s="688"/>
      <c r="FE6" s="688"/>
      <c r="FF6" s="688"/>
      <c r="FG6" s="688"/>
      <c r="FH6" s="688"/>
      <c r="FI6" s="688"/>
      <c r="FJ6" s="688"/>
      <c r="FK6" s="688"/>
      <c r="FL6" s="688"/>
      <c r="FM6" s="688"/>
      <c r="FN6" s="688"/>
      <c r="FO6" s="688"/>
      <c r="FP6" s="688"/>
      <c r="FQ6" s="688"/>
      <c r="FR6" s="688"/>
      <c r="FS6" s="688"/>
      <c r="FT6" s="688"/>
      <c r="FU6" s="688"/>
      <c r="FV6" s="688"/>
      <c r="FW6" s="688"/>
      <c r="FX6" s="688"/>
      <c r="FY6" s="688"/>
      <c r="FZ6" s="688"/>
      <c r="GA6" s="688"/>
      <c r="GB6" s="688"/>
      <c r="GC6" s="688"/>
      <c r="GD6" s="688"/>
      <c r="GE6" s="688"/>
      <c r="GF6" s="688"/>
      <c r="GG6" s="688"/>
      <c r="GH6" s="688"/>
      <c r="GI6" s="688"/>
      <c r="GJ6" s="688"/>
      <c r="GK6" s="688"/>
      <c r="GL6" s="688"/>
      <c r="GM6" s="688"/>
      <c r="GN6" s="688"/>
      <c r="GO6" s="688"/>
      <c r="GP6" s="688"/>
      <c r="GQ6" s="688"/>
      <c r="GR6" s="688"/>
      <c r="GS6" s="688"/>
      <c r="GT6" s="688"/>
      <c r="GU6" s="688"/>
      <c r="GV6" s="688"/>
      <c r="GW6" s="688"/>
      <c r="GX6" s="688"/>
      <c r="GY6" s="688"/>
      <c r="GZ6" s="688"/>
      <c r="HA6" s="688"/>
      <c r="HB6" s="688"/>
      <c r="HC6" s="688"/>
      <c r="HD6" s="688"/>
      <c r="HE6" s="688"/>
      <c r="HF6" s="688"/>
      <c r="HG6" s="688"/>
      <c r="HH6" s="688"/>
      <c r="HI6" s="688"/>
      <c r="HJ6" s="688"/>
      <c r="HK6" s="688"/>
      <c r="HL6" s="688"/>
      <c r="HM6" s="688"/>
      <c r="HN6" s="688"/>
      <c r="HO6" s="688"/>
      <c r="HP6" s="688"/>
      <c r="HQ6" s="688"/>
      <c r="HR6" s="688"/>
      <c r="HS6" s="688"/>
      <c r="HT6" s="688"/>
      <c r="HU6" s="688"/>
      <c r="HV6" s="688"/>
      <c r="HW6" s="688"/>
      <c r="HX6" s="688"/>
      <c r="HY6" s="688"/>
      <c r="HZ6" s="688"/>
      <c r="IA6" s="688"/>
      <c r="IB6" s="688"/>
      <c r="IC6" s="688"/>
      <c r="ID6" s="688"/>
      <c r="IE6" s="688"/>
      <c r="IF6" s="688"/>
      <c r="IG6" s="688"/>
      <c r="IH6" s="688"/>
      <c r="II6" s="688"/>
      <c r="IJ6" s="688"/>
      <c r="IK6" s="688"/>
      <c r="IL6" s="688"/>
      <c r="IM6" s="688"/>
      <c r="IN6" s="688"/>
      <c r="IO6" s="688"/>
      <c r="IP6" s="688"/>
      <c r="IQ6" s="688"/>
      <c r="IR6" s="688"/>
      <c r="IS6" s="688"/>
      <c r="IT6" s="688"/>
      <c r="IU6" s="688"/>
      <c r="IV6" s="688"/>
      <c r="IW6" s="688"/>
      <c r="IX6" s="688"/>
      <c r="IY6" s="688"/>
      <c r="IZ6" s="688"/>
      <c r="JA6" s="688"/>
      <c r="JB6" s="688"/>
      <c r="JC6" s="688"/>
      <c r="JD6" s="688"/>
      <c r="JE6" s="688"/>
      <c r="JF6" s="688"/>
      <c r="JG6" s="688"/>
      <c r="JH6" s="688"/>
      <c r="JI6" s="688"/>
      <c r="JJ6" s="688"/>
      <c r="JK6" s="688"/>
      <c r="JL6" s="688"/>
      <c r="JM6" s="688"/>
      <c r="JN6" s="688"/>
      <c r="JO6" s="688"/>
      <c r="JP6" s="688"/>
      <c r="JQ6" s="688"/>
      <c r="JR6" s="688"/>
      <c r="JS6" s="688"/>
      <c r="JT6" s="688"/>
      <c r="JU6" s="688"/>
      <c r="JV6" s="688"/>
      <c r="JW6" s="688"/>
      <c r="JX6" s="688"/>
      <c r="JY6" s="688"/>
      <c r="JZ6" s="688"/>
      <c r="KA6" s="688"/>
      <c r="KB6" s="688"/>
      <c r="KC6" s="688"/>
      <c r="KD6" s="688"/>
      <c r="KE6" s="688"/>
      <c r="KF6" s="688"/>
      <c r="KG6" s="688"/>
      <c r="KH6" s="688"/>
      <c r="KI6" s="688"/>
      <c r="KJ6" s="688"/>
      <c r="KK6" s="688"/>
      <c r="KL6" s="688"/>
      <c r="KM6" s="688"/>
      <c r="KN6" s="688"/>
      <c r="KO6" s="688"/>
      <c r="KP6" s="688"/>
      <c r="KQ6" s="688"/>
      <c r="KR6" s="688"/>
      <c r="KS6" s="688"/>
      <c r="KT6" s="688"/>
      <c r="KU6" s="688"/>
      <c r="KV6" s="688"/>
      <c r="KW6" s="688"/>
      <c r="KX6" s="688"/>
      <c r="KY6" s="688"/>
      <c r="KZ6" s="688"/>
      <c r="LA6" s="688"/>
      <c r="LB6" s="688"/>
      <c r="LC6" s="688"/>
      <c r="LD6" s="688"/>
      <c r="LE6" s="688"/>
      <c r="LF6" s="688"/>
      <c r="LG6" s="688"/>
      <c r="LH6" s="688"/>
      <c r="LI6" s="688"/>
      <c r="LJ6" s="688"/>
      <c r="LK6" s="688"/>
      <c r="LL6" s="688"/>
      <c r="LM6" s="688"/>
      <c r="LN6" s="688"/>
      <c r="LO6" s="688"/>
      <c r="LP6" s="688"/>
      <c r="LQ6" s="688"/>
      <c r="LR6" s="688"/>
      <c r="LS6" s="688"/>
      <c r="LT6" s="688"/>
      <c r="LU6" s="688"/>
      <c r="LV6" s="688"/>
      <c r="LW6" s="688"/>
      <c r="LX6" s="688"/>
      <c r="LY6" s="688"/>
      <c r="LZ6" s="688"/>
      <c r="MA6" s="688"/>
      <c r="MB6" s="688"/>
      <c r="MC6" s="688"/>
      <c r="MD6" s="688"/>
      <c r="ME6" s="688"/>
      <c r="MF6" s="688"/>
      <c r="MG6" s="688"/>
      <c r="MH6" s="688"/>
      <c r="MI6" s="688"/>
      <c r="MJ6" s="688"/>
      <c r="MK6" s="688"/>
      <c r="ML6" s="688"/>
      <c r="MM6" s="688"/>
      <c r="MN6" s="688"/>
      <c r="MO6" s="688"/>
      <c r="MP6" s="688"/>
      <c r="MQ6" s="688"/>
      <c r="MR6" s="688"/>
      <c r="MS6" s="688"/>
      <c r="MT6" s="688"/>
      <c r="MU6" s="688"/>
      <c r="MV6" s="688"/>
      <c r="MW6" s="688"/>
      <c r="MX6" s="688"/>
      <c r="MY6" s="688"/>
      <c r="MZ6" s="688"/>
      <c r="NA6" s="688"/>
      <c r="NB6" s="688"/>
      <c r="NC6" s="688"/>
      <c r="ND6" s="688"/>
      <c r="NE6" s="688"/>
      <c r="NF6" s="688"/>
      <c r="NG6" s="688"/>
      <c r="NH6" s="688"/>
      <c r="NI6" s="688"/>
      <c r="NJ6" s="688"/>
      <c r="NK6" s="688"/>
      <c r="NL6" s="688"/>
      <c r="NM6" s="688"/>
      <c r="NN6" s="688"/>
      <c r="NO6" s="688"/>
      <c r="NP6" s="688"/>
      <c r="NQ6" s="688"/>
      <c r="NR6" s="688"/>
      <c r="NS6" s="688"/>
      <c r="NT6" s="688"/>
      <c r="NU6" s="688"/>
      <c r="NV6" s="688"/>
      <c r="NW6" s="688"/>
      <c r="NX6" s="688"/>
      <c r="NY6" s="688"/>
      <c r="NZ6" s="688"/>
      <c r="OA6" s="688"/>
      <c r="OB6" s="688"/>
      <c r="OC6" s="688"/>
      <c r="OD6" s="688"/>
      <c r="OE6" s="688"/>
      <c r="OF6" s="688"/>
      <c r="OG6" s="688"/>
      <c r="OH6" s="688"/>
      <c r="OI6" s="688"/>
      <c r="OJ6" s="688"/>
      <c r="OK6" s="688"/>
      <c r="OL6" s="688"/>
      <c r="OM6" s="688"/>
      <c r="ON6" s="688"/>
      <c r="OO6" s="688"/>
      <c r="OP6" s="688"/>
      <c r="OQ6" s="688"/>
      <c r="OR6" s="688"/>
      <c r="OS6" s="688"/>
      <c r="OT6" s="688"/>
      <c r="OU6" s="688"/>
      <c r="OV6" s="688"/>
      <c r="OW6" s="688"/>
      <c r="OX6" s="688"/>
      <c r="OY6" s="688"/>
      <c r="OZ6" s="688"/>
      <c r="PA6" s="688"/>
      <c r="PB6" s="688"/>
      <c r="PC6" s="688"/>
      <c r="PD6" s="688"/>
      <c r="PE6" s="688"/>
      <c r="PF6" s="688"/>
      <c r="PG6" s="688"/>
      <c r="PH6" s="688"/>
      <c r="PI6" s="688"/>
      <c r="PJ6" s="688"/>
      <c r="PK6" s="688"/>
      <c r="PL6" s="688"/>
      <c r="PM6" s="688"/>
      <c r="PN6" s="688"/>
      <c r="PO6" s="688"/>
      <c r="PP6" s="688"/>
      <c r="PQ6" s="688"/>
      <c r="PR6" s="688"/>
      <c r="PS6" s="688"/>
      <c r="PT6" s="688"/>
      <c r="PU6" s="688"/>
      <c r="PV6" s="688"/>
      <c r="PW6" s="688"/>
      <c r="PX6" s="688"/>
      <c r="PY6" s="688"/>
      <c r="PZ6" s="688"/>
      <c r="QA6" s="688"/>
      <c r="QB6" s="688"/>
      <c r="QC6" s="688"/>
      <c r="QD6" s="688"/>
      <c r="QE6" s="688"/>
      <c r="QF6" s="688"/>
      <c r="QG6" s="688"/>
      <c r="QH6" s="688"/>
      <c r="QI6" s="688"/>
      <c r="QJ6" s="688"/>
      <c r="QK6" s="688"/>
      <c r="QL6" s="688"/>
      <c r="QM6" s="688"/>
      <c r="QN6" s="688"/>
      <c r="QO6" s="688"/>
      <c r="QP6" s="688"/>
      <c r="QQ6" s="688"/>
      <c r="QR6" s="688"/>
      <c r="QS6" s="688"/>
      <c r="QT6" s="688"/>
      <c r="QU6" s="688"/>
      <c r="QV6" s="688"/>
      <c r="QW6" s="688"/>
      <c r="QX6" s="688"/>
      <c r="QY6" s="688"/>
      <c r="QZ6" s="688"/>
      <c r="RA6" s="688"/>
      <c r="RB6" s="688"/>
      <c r="RC6" s="688"/>
      <c r="RD6" s="688"/>
      <c r="RE6" s="688"/>
      <c r="RF6" s="688"/>
      <c r="RG6" s="688"/>
      <c r="RH6" s="688"/>
      <c r="RI6" s="688"/>
      <c r="RJ6" s="688"/>
      <c r="RK6" s="688"/>
      <c r="RL6" s="688"/>
      <c r="RM6" s="688"/>
      <c r="RN6" s="688"/>
      <c r="RO6" s="688"/>
      <c r="RP6" s="688"/>
      <c r="RQ6" s="688"/>
      <c r="RR6" s="688"/>
      <c r="RS6" s="688"/>
      <c r="RT6" s="688"/>
      <c r="RU6" s="688"/>
      <c r="RV6" s="688"/>
      <c r="RW6" s="688"/>
      <c r="RX6" s="688"/>
      <c r="RY6" s="688"/>
      <c r="RZ6" s="688"/>
      <c r="SA6" s="688"/>
      <c r="SB6" s="688"/>
      <c r="SC6" s="688"/>
      <c r="SD6" s="688"/>
      <c r="SE6" s="688"/>
      <c r="SF6" s="688"/>
      <c r="SG6" s="688"/>
      <c r="SH6" s="688"/>
      <c r="SI6" s="688"/>
      <c r="SJ6" s="688"/>
      <c r="SK6" s="688"/>
      <c r="SL6" s="688"/>
      <c r="SM6" s="688"/>
      <c r="SN6" s="688"/>
      <c r="SO6" s="688"/>
      <c r="SP6" s="688"/>
      <c r="SQ6" s="688"/>
      <c r="SR6" s="688"/>
      <c r="SS6" s="688"/>
      <c r="ST6" s="688"/>
      <c r="SU6" s="688"/>
      <c r="SV6" s="688"/>
      <c r="SW6" s="688"/>
      <c r="SX6" s="688"/>
      <c r="SY6" s="688"/>
      <c r="SZ6" s="688"/>
      <c r="TA6" s="688"/>
      <c r="TB6" s="688"/>
      <c r="TC6" s="688"/>
      <c r="TD6" s="688"/>
      <c r="TE6" s="688"/>
      <c r="TF6" s="688"/>
      <c r="TG6" s="688"/>
      <c r="TH6" s="688"/>
      <c r="TI6" s="688"/>
      <c r="TJ6" s="688"/>
      <c r="TK6" s="688"/>
      <c r="TL6" s="688"/>
      <c r="TM6" s="688"/>
      <c r="TN6" s="688"/>
      <c r="TO6" s="688"/>
      <c r="TP6" s="688"/>
      <c r="TQ6" s="688"/>
      <c r="TR6" s="688"/>
      <c r="TS6" s="688"/>
      <c r="TT6" s="688"/>
      <c r="TU6" s="688"/>
      <c r="TV6" s="688"/>
      <c r="TW6" s="688"/>
      <c r="TX6" s="688"/>
      <c r="TY6" s="688"/>
      <c r="TZ6" s="688"/>
      <c r="UA6" s="688"/>
      <c r="UB6" s="688"/>
      <c r="UC6" s="688"/>
      <c r="UD6" s="688"/>
      <c r="UE6" s="688"/>
      <c r="UF6" s="688"/>
      <c r="UG6" s="688"/>
      <c r="UH6" s="688"/>
      <c r="UI6" s="688"/>
      <c r="UJ6" s="688"/>
      <c r="UK6" s="688"/>
      <c r="UL6" s="688"/>
      <c r="UM6" s="688"/>
      <c r="UN6" s="688"/>
      <c r="UO6" s="688"/>
      <c r="UP6" s="688"/>
      <c r="UQ6" s="688"/>
      <c r="UR6" s="688"/>
      <c r="US6" s="688"/>
      <c r="UT6" s="688"/>
      <c r="UU6" s="688"/>
      <c r="UV6" s="688"/>
      <c r="UW6" s="688"/>
      <c r="UX6" s="688"/>
      <c r="UY6" s="688"/>
      <c r="UZ6" s="688"/>
      <c r="VA6" s="688"/>
      <c r="VB6" s="688"/>
      <c r="VC6" s="688"/>
      <c r="VD6" s="688"/>
      <c r="VE6" s="688"/>
      <c r="VF6" s="688"/>
      <c r="VG6" s="688"/>
      <c r="VH6" s="688"/>
      <c r="VI6" s="688"/>
      <c r="VJ6" s="688"/>
      <c r="VK6" s="688"/>
      <c r="VL6" s="688"/>
      <c r="VM6" s="688"/>
      <c r="VN6" s="688"/>
      <c r="VO6" s="688"/>
      <c r="VP6" s="688"/>
      <c r="VQ6" s="688"/>
      <c r="VR6" s="688"/>
      <c r="VS6" s="688"/>
      <c r="VT6" s="688"/>
      <c r="VU6" s="688"/>
      <c r="VV6" s="688"/>
      <c r="VW6" s="688"/>
      <c r="VX6" s="688"/>
      <c r="VY6" s="688"/>
      <c r="VZ6" s="688"/>
      <c r="WA6" s="688"/>
      <c r="WB6" s="688"/>
      <c r="WC6" s="688"/>
      <c r="WD6" s="688"/>
      <c r="WE6" s="688"/>
      <c r="WF6" s="688"/>
      <c r="WG6" s="688"/>
      <c r="WH6" s="688"/>
      <c r="WI6" s="688"/>
      <c r="WJ6" s="688"/>
      <c r="WK6" s="688"/>
      <c r="WL6" s="688"/>
      <c r="WM6" s="688"/>
      <c r="WN6" s="688"/>
      <c r="WO6" s="688"/>
      <c r="WP6" s="688"/>
      <c r="WQ6" s="688"/>
      <c r="WR6" s="688"/>
      <c r="WS6" s="688"/>
      <c r="WT6" s="688"/>
      <c r="WU6" s="688"/>
      <c r="WV6" s="688"/>
      <c r="WW6" s="688"/>
      <c r="WX6" s="688"/>
      <c r="WY6" s="688"/>
      <c r="WZ6" s="688"/>
      <c r="XA6" s="688"/>
      <c r="XB6" s="688"/>
      <c r="XC6" s="688"/>
      <c r="XD6" s="688"/>
      <c r="XE6" s="688"/>
      <c r="XF6" s="688"/>
      <c r="XG6" s="688"/>
      <c r="XH6" s="688"/>
      <c r="XI6" s="688"/>
      <c r="XJ6" s="688"/>
      <c r="XK6" s="688"/>
      <c r="XL6" s="688"/>
      <c r="XM6" s="688"/>
      <c r="XN6" s="688"/>
      <c r="XO6" s="688"/>
      <c r="XP6" s="688"/>
      <c r="XQ6" s="688"/>
      <c r="XR6" s="688"/>
      <c r="XS6" s="688"/>
      <c r="XT6" s="688"/>
      <c r="XU6" s="688"/>
      <c r="XV6" s="688"/>
      <c r="XW6" s="688"/>
      <c r="XX6" s="688"/>
      <c r="XY6" s="688"/>
      <c r="XZ6" s="688"/>
      <c r="YA6" s="688"/>
      <c r="YB6" s="688"/>
      <c r="YC6" s="688"/>
      <c r="YD6" s="688"/>
      <c r="YE6" s="688"/>
      <c r="YF6" s="688"/>
      <c r="YG6" s="688"/>
      <c r="YH6" s="688"/>
      <c r="YI6" s="688"/>
      <c r="YJ6" s="688"/>
      <c r="YK6" s="688"/>
      <c r="YL6" s="688"/>
      <c r="YM6" s="688"/>
      <c r="YN6" s="688"/>
      <c r="YO6" s="688"/>
      <c r="YP6" s="688"/>
      <c r="YQ6" s="688"/>
      <c r="YR6" s="688"/>
      <c r="YS6" s="688"/>
      <c r="YT6" s="688"/>
      <c r="YU6" s="688"/>
      <c r="YV6" s="688"/>
      <c r="YW6" s="688"/>
      <c r="YX6" s="688"/>
      <c r="YY6" s="688"/>
      <c r="YZ6" s="688"/>
      <c r="ZA6" s="688"/>
      <c r="ZB6" s="688"/>
      <c r="ZC6" s="688"/>
      <c r="ZD6" s="688"/>
      <c r="ZE6" s="688"/>
      <c r="ZF6" s="688"/>
      <c r="ZG6" s="688"/>
      <c r="ZH6" s="688"/>
      <c r="ZI6" s="688"/>
      <c r="ZJ6" s="688"/>
      <c r="ZK6" s="688"/>
      <c r="ZL6" s="688"/>
      <c r="ZM6" s="688"/>
      <c r="ZN6" s="688"/>
      <c r="ZO6" s="688"/>
      <c r="ZP6" s="688"/>
      <c r="ZQ6" s="688"/>
      <c r="ZR6" s="688"/>
      <c r="ZS6" s="688"/>
      <c r="ZT6" s="688"/>
      <c r="ZU6" s="688"/>
      <c r="ZV6" s="688"/>
      <c r="ZW6" s="688"/>
      <c r="ZX6" s="688"/>
      <c r="ZY6" s="688"/>
      <c r="ZZ6" s="688"/>
      <c r="AAA6" s="688"/>
      <c r="AAB6" s="688"/>
      <c r="AAC6" s="688"/>
      <c r="AAD6" s="688"/>
      <c r="AAE6" s="688"/>
      <c r="AAF6" s="688"/>
      <c r="AAG6" s="688"/>
      <c r="AAH6" s="688"/>
      <c r="AAI6" s="688"/>
      <c r="AAJ6" s="688"/>
      <c r="AAK6" s="688"/>
      <c r="AAL6" s="688"/>
      <c r="AAM6" s="688"/>
      <c r="AAN6" s="688"/>
      <c r="AAO6" s="688"/>
      <c r="AAP6" s="688"/>
      <c r="AAQ6" s="688"/>
      <c r="AAR6" s="688"/>
      <c r="AAS6" s="688"/>
      <c r="AAT6" s="688"/>
      <c r="AAU6" s="688"/>
      <c r="AAV6" s="688"/>
      <c r="AAW6" s="688"/>
      <c r="AAX6" s="688"/>
      <c r="AAY6" s="688"/>
      <c r="AAZ6" s="688"/>
      <c r="ABA6" s="688"/>
      <c r="ABB6" s="688"/>
      <c r="ABC6" s="688"/>
      <c r="ABD6" s="688"/>
      <c r="ABE6" s="688"/>
      <c r="ABF6" s="688"/>
      <c r="ABG6" s="688"/>
      <c r="ABH6" s="688"/>
      <c r="ABI6" s="688"/>
      <c r="ABJ6" s="688"/>
      <c r="ABK6" s="688"/>
      <c r="ABL6" s="688"/>
      <c r="ABM6" s="688"/>
      <c r="ABN6" s="688"/>
      <c r="ABO6" s="688"/>
      <c r="ABP6" s="688"/>
      <c r="ABQ6" s="688"/>
      <c r="ABR6" s="688"/>
      <c r="ABS6" s="688"/>
      <c r="ABT6" s="688"/>
      <c r="ABU6" s="688"/>
      <c r="ABV6" s="688"/>
      <c r="ABW6" s="688"/>
      <c r="ABX6" s="688"/>
      <c r="ABY6" s="688"/>
      <c r="ABZ6" s="688"/>
      <c r="ACA6" s="688"/>
      <c r="ACB6" s="688"/>
      <c r="ACC6" s="688"/>
      <c r="ACD6" s="688"/>
      <c r="ACE6" s="688"/>
      <c r="ACF6" s="688"/>
      <c r="ACG6" s="688"/>
      <c r="ACH6" s="688"/>
      <c r="ACI6" s="688"/>
      <c r="ACJ6" s="688"/>
      <c r="ACK6" s="688"/>
      <c r="ACL6" s="688"/>
      <c r="ACM6" s="688"/>
      <c r="ACN6" s="688"/>
      <c r="ACO6" s="688"/>
      <c r="ACP6" s="688"/>
      <c r="ACQ6" s="688"/>
      <c r="ACR6" s="688"/>
      <c r="ACS6" s="688"/>
      <c r="ACT6" s="688"/>
      <c r="ACU6" s="688"/>
      <c r="ACV6" s="688"/>
      <c r="ACW6" s="688"/>
      <c r="ACX6" s="688"/>
      <c r="ACY6" s="688"/>
      <c r="ACZ6" s="688"/>
      <c r="ADA6" s="688"/>
      <c r="ADB6" s="688"/>
      <c r="ADC6" s="688"/>
      <c r="ADD6" s="688"/>
      <c r="ADE6" s="688"/>
      <c r="ADF6" s="688"/>
      <c r="ADG6" s="688"/>
      <c r="ADH6" s="688"/>
      <c r="ADI6" s="688"/>
      <c r="ADJ6" s="688"/>
      <c r="ADK6" s="688"/>
      <c r="ADL6" s="688"/>
      <c r="ADM6" s="688"/>
      <c r="ADN6" s="688"/>
      <c r="ADO6" s="688"/>
      <c r="ADP6" s="688"/>
      <c r="ADQ6" s="688"/>
      <c r="ADR6" s="688"/>
      <c r="ADS6" s="688"/>
      <c r="ADT6" s="688"/>
      <c r="ADU6" s="688"/>
      <c r="ADV6" s="688"/>
      <c r="ADW6" s="688"/>
      <c r="ADX6" s="688"/>
      <c r="ADY6" s="688"/>
      <c r="ADZ6" s="688"/>
      <c r="AEA6" s="688"/>
      <c r="AEB6" s="688"/>
      <c r="AEC6" s="688"/>
      <c r="AED6" s="688"/>
      <c r="AEE6" s="688"/>
      <c r="AEF6" s="688"/>
      <c r="AEG6" s="688"/>
      <c r="AEH6" s="688"/>
      <c r="AEI6" s="688"/>
      <c r="AEJ6" s="688"/>
      <c r="AEK6" s="688"/>
      <c r="AEL6" s="688"/>
      <c r="AEM6" s="688"/>
      <c r="AEN6" s="688"/>
      <c r="AEO6" s="688"/>
      <c r="AEP6" s="688"/>
      <c r="AEQ6" s="688"/>
      <c r="AER6" s="688"/>
      <c r="AES6" s="688"/>
      <c r="AET6" s="688"/>
      <c r="AEU6" s="688"/>
      <c r="AEV6" s="688"/>
      <c r="AEW6" s="688"/>
      <c r="AEX6" s="688"/>
      <c r="AEY6" s="688"/>
      <c r="AEZ6" s="688"/>
      <c r="AFA6" s="688"/>
      <c r="AFB6" s="688"/>
      <c r="AFC6" s="688"/>
      <c r="AFD6" s="688"/>
      <c r="AFE6" s="688"/>
      <c r="AFF6" s="688"/>
      <c r="AFG6" s="688"/>
      <c r="AFH6" s="688"/>
      <c r="AFI6" s="688"/>
      <c r="AFJ6" s="688"/>
      <c r="AFK6" s="688"/>
      <c r="AFL6" s="688"/>
      <c r="AFM6" s="688"/>
      <c r="AFN6" s="688"/>
      <c r="AFO6" s="688"/>
      <c r="AFP6" s="688"/>
      <c r="AFQ6" s="688"/>
      <c r="AFR6" s="688"/>
      <c r="AFS6" s="688"/>
      <c r="AFT6" s="688"/>
      <c r="AFU6" s="688"/>
      <c r="AFV6" s="688"/>
      <c r="AFW6" s="688"/>
      <c r="AFX6" s="688"/>
      <c r="AFY6" s="688"/>
      <c r="AFZ6" s="688"/>
      <c r="AGA6" s="688"/>
      <c r="AGB6" s="688"/>
      <c r="AGC6" s="688"/>
      <c r="AGD6" s="688"/>
      <c r="AGE6" s="688"/>
      <c r="AGF6" s="688"/>
      <c r="AGG6" s="688"/>
      <c r="AGH6" s="688"/>
      <c r="AGI6" s="688"/>
      <c r="AGJ6" s="688"/>
      <c r="AGK6" s="688"/>
      <c r="AGL6" s="688"/>
      <c r="AGM6" s="688"/>
      <c r="AGN6" s="688"/>
      <c r="AGO6" s="688"/>
      <c r="AGP6" s="688"/>
      <c r="AGQ6" s="688"/>
      <c r="AGR6" s="688"/>
      <c r="AGS6" s="688"/>
      <c r="AGT6" s="688"/>
      <c r="AGU6" s="688"/>
      <c r="AGV6" s="688"/>
      <c r="AGW6" s="688"/>
      <c r="AGX6" s="688"/>
      <c r="AGY6" s="688"/>
      <c r="AGZ6" s="688"/>
      <c r="AHA6" s="688"/>
      <c r="AHB6" s="688"/>
      <c r="AHC6" s="688"/>
      <c r="AHD6" s="688"/>
      <c r="AHE6" s="688"/>
      <c r="AHF6" s="688"/>
      <c r="AHG6" s="688"/>
      <c r="AHH6" s="688"/>
      <c r="AHI6" s="688"/>
      <c r="AHJ6" s="688"/>
      <c r="AHK6" s="688"/>
      <c r="AHL6" s="688"/>
      <c r="AHM6" s="688"/>
      <c r="AHN6" s="688"/>
      <c r="AHO6" s="688"/>
      <c r="AHP6" s="688"/>
      <c r="AHQ6" s="688"/>
      <c r="AHR6" s="688"/>
      <c r="AHS6" s="688"/>
      <c r="AHT6" s="688"/>
      <c r="AHU6" s="688"/>
      <c r="AHV6" s="688"/>
      <c r="AHW6" s="688"/>
      <c r="AHX6" s="688"/>
      <c r="AHY6" s="688"/>
      <c r="AHZ6" s="688"/>
      <c r="AIA6" s="688"/>
      <c r="AIB6" s="688"/>
      <c r="AIC6" s="688"/>
      <c r="AID6" s="688"/>
      <c r="AIE6" s="688"/>
      <c r="AIF6" s="688"/>
      <c r="AIG6" s="688"/>
      <c r="AIH6" s="688"/>
      <c r="AII6" s="688"/>
      <c r="AIJ6" s="688"/>
      <c r="AIK6" s="688"/>
      <c r="AIL6" s="688"/>
      <c r="AIM6" s="688"/>
      <c r="AIN6" s="688"/>
      <c r="AIO6" s="688"/>
      <c r="AIP6" s="688"/>
      <c r="AIQ6" s="688"/>
      <c r="AIR6" s="688"/>
      <c r="AIS6" s="688"/>
      <c r="AIT6" s="688"/>
      <c r="AIU6" s="688"/>
      <c r="AIV6" s="688"/>
      <c r="AIW6" s="688"/>
      <c r="AIX6" s="688"/>
      <c r="AIY6" s="688"/>
      <c r="AIZ6" s="688"/>
      <c r="AJA6" s="688"/>
      <c r="AJB6" s="688"/>
      <c r="AJC6" s="688"/>
      <c r="AJD6" s="688"/>
      <c r="AJE6" s="688"/>
      <c r="AJF6" s="688"/>
      <c r="AJG6" s="688"/>
      <c r="AJH6" s="688"/>
      <c r="AJI6" s="688"/>
      <c r="AJJ6" s="688"/>
      <c r="AJK6" s="688"/>
      <c r="AJL6" s="688"/>
      <c r="AJM6" s="688"/>
      <c r="AJN6" s="688"/>
      <c r="AJO6" s="688"/>
      <c r="AJP6" s="688"/>
      <c r="AJQ6" s="688"/>
      <c r="AJR6" s="688"/>
      <c r="AJS6" s="688"/>
      <c r="AJT6" s="688"/>
      <c r="AJU6" s="688"/>
      <c r="AJV6" s="688"/>
      <c r="AJW6" s="688"/>
      <c r="AJX6" s="688"/>
      <c r="AJY6" s="688"/>
      <c r="AJZ6" s="688"/>
      <c r="AKA6" s="688"/>
      <c r="AKB6" s="688"/>
      <c r="AKC6" s="688"/>
      <c r="AKD6" s="688"/>
      <c r="AKE6" s="688"/>
      <c r="AKF6" s="688"/>
      <c r="AKG6" s="688"/>
      <c r="AKH6" s="688"/>
      <c r="AKI6" s="688"/>
      <c r="AKJ6" s="688"/>
      <c r="AKK6" s="688"/>
      <c r="AKL6" s="688"/>
      <c r="AKM6" s="688"/>
      <c r="AKN6" s="688"/>
      <c r="AKO6" s="688"/>
      <c r="AKP6" s="688"/>
      <c r="AKQ6" s="688"/>
      <c r="AKR6" s="688"/>
      <c r="AKS6" s="688"/>
      <c r="AKT6" s="688"/>
      <c r="AKU6" s="688"/>
      <c r="AKV6" s="688"/>
      <c r="AKW6" s="688"/>
      <c r="AKX6" s="688"/>
      <c r="AKY6" s="688"/>
      <c r="AKZ6" s="688"/>
      <c r="ALA6" s="688"/>
      <c r="ALB6" s="688"/>
      <c r="ALC6" s="688"/>
      <c r="ALD6" s="688"/>
      <c r="ALE6" s="688"/>
      <c r="ALF6" s="688"/>
      <c r="ALG6" s="688"/>
      <c r="ALH6" s="688"/>
      <c r="ALI6" s="688"/>
      <c r="ALJ6" s="688"/>
      <c r="ALK6" s="688"/>
      <c r="ALL6" s="688"/>
      <c r="ALM6" s="688"/>
      <c r="ALN6" s="688"/>
      <c r="ALO6" s="688"/>
      <c r="ALP6" s="688"/>
      <c r="ALQ6" s="688"/>
      <c r="ALR6" s="688"/>
      <c r="ALS6" s="688"/>
      <c r="ALT6" s="688"/>
      <c r="ALU6" s="688"/>
      <c r="ALV6" s="688"/>
      <c r="ALW6" s="688"/>
      <c r="ALX6" s="688"/>
      <c r="ALY6" s="688"/>
      <c r="ALZ6" s="688"/>
      <c r="AMA6" s="688"/>
      <c r="AMB6" s="688"/>
      <c r="AMC6" s="688"/>
      <c r="AMD6" s="688"/>
      <c r="AME6" s="688"/>
      <c r="AMF6" s="688"/>
      <c r="AMG6" s="688"/>
      <c r="AMH6" s="688"/>
      <c r="AMI6" s="688"/>
      <c r="AMJ6" s="688"/>
    </row>
    <row r="7" spans="1:1024" s="695" customFormat="1" ht="53.25" customHeight="1">
      <c r="A7" s="692"/>
      <c r="B7" s="700"/>
      <c r="C7" s="700"/>
      <c r="D7" s="699" t="s">
        <v>701</v>
      </c>
      <c r="E7" s="1652" t="e">
        <f>#REF!</f>
        <v>#REF!</v>
      </c>
      <c r="F7" s="1652"/>
    </row>
    <row r="8" spans="1:1024" s="702" customFormat="1" ht="18.75" customHeight="1">
      <c r="A8" s="701"/>
      <c r="B8" s="701"/>
      <c r="C8" s="701"/>
      <c r="D8" s="701"/>
      <c r="E8" s="701"/>
      <c r="F8" s="701"/>
    </row>
    <row r="9" spans="1:1024" ht="18.75" customHeight="1">
      <c r="B9" s="703" t="s">
        <v>702</v>
      </c>
      <c r="C9" s="704"/>
      <c r="D9" s="704"/>
      <c r="E9" s="704"/>
      <c r="F9" s="705" t="s">
        <v>703</v>
      </c>
    </row>
    <row r="10" spans="1:1024" ht="101.25" customHeight="1"/>
    <row r="14" spans="1:1024" s="687" customFormat="1" ht="342" customHeight="1">
      <c r="A14" s="686"/>
      <c r="B14" s="686"/>
      <c r="C14" s="686"/>
      <c r="D14" s="686"/>
      <c r="E14" s="686"/>
      <c r="F14" s="686"/>
    </row>
    <row r="15" spans="1:1024" ht="42.75" customHeight="1">
      <c r="A15" s="686"/>
      <c r="B15" s="1648" t="e">
        <f>#REF!</f>
        <v>#REF!</v>
      </c>
      <c r="C15" s="1648"/>
      <c r="D15" s="1648"/>
      <c r="E15" s="1648"/>
      <c r="F15" s="1648"/>
      <c r="G15" s="688"/>
      <c r="H15" s="688"/>
      <c r="I15" s="688"/>
      <c r="J15" s="688"/>
      <c r="K15" s="688"/>
      <c r="L15" s="688"/>
      <c r="M15" s="688"/>
      <c r="N15" s="688"/>
      <c r="O15" s="688"/>
      <c r="P15" s="689"/>
      <c r="Q15" s="690"/>
      <c r="R15" s="688"/>
      <c r="S15" s="688"/>
      <c r="T15" s="688"/>
      <c r="U15" s="688"/>
      <c r="V15" s="688"/>
      <c r="W15" s="688"/>
      <c r="X15" s="688"/>
      <c r="Y15" s="688"/>
      <c r="Z15" s="688"/>
      <c r="AA15" s="688"/>
      <c r="AB15" s="688"/>
      <c r="AC15" s="688"/>
      <c r="AD15" s="688"/>
      <c r="AE15" s="688"/>
      <c r="AF15" s="688"/>
      <c r="AG15" s="688"/>
      <c r="AH15" s="688"/>
      <c r="AI15" s="688"/>
      <c r="AJ15" s="688"/>
      <c r="AK15" s="688"/>
      <c r="AL15" s="688"/>
      <c r="AM15" s="688"/>
      <c r="AN15" s="688"/>
      <c r="AO15" s="688"/>
      <c r="AP15" s="688"/>
      <c r="AQ15" s="688"/>
      <c r="AR15" s="688"/>
      <c r="AS15" s="688"/>
      <c r="AT15" s="688"/>
      <c r="AU15" s="688"/>
      <c r="AV15" s="688"/>
      <c r="AW15" s="688"/>
      <c r="AX15" s="688"/>
      <c r="AY15" s="688"/>
      <c r="AZ15" s="688"/>
      <c r="BA15" s="688"/>
      <c r="BB15" s="688"/>
      <c r="BC15" s="688"/>
      <c r="BD15" s="688"/>
      <c r="BE15" s="688"/>
      <c r="BF15" s="688"/>
      <c r="BG15" s="688"/>
      <c r="BH15" s="688"/>
      <c r="BI15" s="688"/>
      <c r="BJ15" s="688"/>
      <c r="BK15" s="688"/>
      <c r="BL15" s="688"/>
      <c r="BM15" s="688"/>
      <c r="BN15" s="688"/>
      <c r="BO15" s="688"/>
      <c r="BP15" s="688"/>
      <c r="BQ15" s="688"/>
      <c r="BR15" s="688"/>
      <c r="BS15" s="688"/>
      <c r="BT15" s="688"/>
      <c r="BU15" s="688"/>
      <c r="BV15" s="688"/>
      <c r="BW15" s="688"/>
      <c r="BX15" s="688"/>
      <c r="BY15" s="688"/>
      <c r="BZ15" s="688"/>
      <c r="CA15" s="688"/>
      <c r="CB15" s="688"/>
      <c r="CC15" s="688"/>
      <c r="CD15" s="688"/>
      <c r="CE15" s="688"/>
      <c r="CF15" s="688"/>
      <c r="CG15" s="688"/>
      <c r="CH15" s="688"/>
      <c r="CI15" s="688"/>
      <c r="CJ15" s="688"/>
      <c r="CK15" s="688"/>
      <c r="CL15" s="688"/>
      <c r="CM15" s="688"/>
      <c r="CN15" s="688"/>
      <c r="CO15" s="688"/>
      <c r="CP15" s="688"/>
      <c r="CQ15" s="688"/>
      <c r="CR15" s="688"/>
      <c r="CS15" s="688"/>
      <c r="CT15" s="688"/>
      <c r="CU15" s="688"/>
      <c r="CV15" s="688"/>
      <c r="CW15" s="688"/>
      <c r="CX15" s="688"/>
      <c r="CY15" s="688"/>
      <c r="CZ15" s="688"/>
      <c r="DA15" s="688"/>
      <c r="DB15" s="688"/>
      <c r="DC15" s="688"/>
      <c r="DD15" s="688"/>
      <c r="DE15" s="688"/>
      <c r="DF15" s="688"/>
      <c r="DG15" s="688"/>
      <c r="DH15" s="688"/>
      <c r="DI15" s="688"/>
      <c r="DJ15" s="688"/>
      <c r="DK15" s="688"/>
      <c r="DL15" s="688"/>
      <c r="DM15" s="688"/>
      <c r="DN15" s="688"/>
      <c r="DO15" s="688"/>
      <c r="DP15" s="688"/>
      <c r="DQ15" s="688"/>
      <c r="DR15" s="688"/>
      <c r="DS15" s="688"/>
      <c r="DT15" s="688"/>
      <c r="DU15" s="688"/>
      <c r="DV15" s="688"/>
      <c r="DW15" s="688"/>
      <c r="DX15" s="688"/>
      <c r="DY15" s="688"/>
      <c r="DZ15" s="688"/>
      <c r="EA15" s="688"/>
      <c r="EB15" s="688"/>
      <c r="EC15" s="688"/>
      <c r="ED15" s="688"/>
      <c r="EE15" s="688"/>
      <c r="EF15" s="688"/>
      <c r="EG15" s="688"/>
      <c r="EH15" s="688"/>
      <c r="EI15" s="688"/>
      <c r="EJ15" s="688"/>
      <c r="EK15" s="688"/>
      <c r="EL15" s="688"/>
      <c r="EM15" s="688"/>
      <c r="EN15" s="688"/>
      <c r="EO15" s="688"/>
      <c r="EP15" s="688"/>
      <c r="EQ15" s="688"/>
      <c r="ER15" s="688"/>
      <c r="ES15" s="688"/>
      <c r="ET15" s="688"/>
      <c r="EU15" s="688"/>
      <c r="EV15" s="688"/>
      <c r="EW15" s="688"/>
      <c r="EX15" s="688"/>
      <c r="EY15" s="688"/>
      <c r="EZ15" s="688"/>
      <c r="FA15" s="688"/>
      <c r="FB15" s="688"/>
      <c r="FC15" s="688"/>
      <c r="FD15" s="688"/>
      <c r="FE15" s="688"/>
      <c r="FF15" s="688"/>
      <c r="FG15" s="688"/>
      <c r="FH15" s="688"/>
      <c r="FI15" s="688"/>
      <c r="FJ15" s="688"/>
      <c r="FK15" s="688"/>
      <c r="FL15" s="688"/>
      <c r="FM15" s="688"/>
      <c r="FN15" s="688"/>
      <c r="FO15" s="688"/>
      <c r="FP15" s="688"/>
      <c r="FQ15" s="688"/>
      <c r="FR15" s="688"/>
      <c r="FS15" s="688"/>
      <c r="FT15" s="688"/>
      <c r="FU15" s="688"/>
      <c r="FV15" s="688"/>
      <c r="FW15" s="688"/>
      <c r="FX15" s="688"/>
      <c r="FY15" s="688"/>
      <c r="FZ15" s="688"/>
      <c r="GA15" s="688"/>
      <c r="GB15" s="688"/>
      <c r="GC15" s="688"/>
      <c r="GD15" s="688"/>
      <c r="GE15" s="688"/>
      <c r="GF15" s="688"/>
      <c r="GG15" s="688"/>
      <c r="GH15" s="688"/>
      <c r="GI15" s="688"/>
      <c r="GJ15" s="688"/>
      <c r="GK15" s="688"/>
      <c r="GL15" s="688"/>
      <c r="GM15" s="688"/>
      <c r="GN15" s="688"/>
      <c r="GO15" s="688"/>
      <c r="GP15" s="688"/>
      <c r="GQ15" s="688"/>
      <c r="GR15" s="688"/>
      <c r="GS15" s="688"/>
      <c r="GT15" s="688"/>
      <c r="GU15" s="688"/>
      <c r="GV15" s="688"/>
      <c r="GW15" s="688"/>
      <c r="GX15" s="688"/>
      <c r="GY15" s="688"/>
      <c r="GZ15" s="688"/>
      <c r="HA15" s="688"/>
      <c r="HB15" s="688"/>
      <c r="HC15" s="688"/>
      <c r="HD15" s="688"/>
      <c r="HE15" s="688"/>
      <c r="HF15" s="688"/>
      <c r="HG15" s="688"/>
      <c r="HH15" s="688"/>
      <c r="HI15" s="688"/>
      <c r="HJ15" s="688"/>
      <c r="HK15" s="688"/>
      <c r="HL15" s="688"/>
      <c r="HM15" s="688"/>
      <c r="HN15" s="688"/>
      <c r="HO15" s="688"/>
      <c r="HP15" s="688"/>
      <c r="HQ15" s="688"/>
      <c r="HR15" s="688"/>
      <c r="HS15" s="688"/>
      <c r="HT15" s="688"/>
      <c r="HU15" s="688"/>
      <c r="HV15" s="688"/>
      <c r="HW15" s="688"/>
      <c r="HX15" s="688"/>
      <c r="HY15" s="688"/>
      <c r="HZ15" s="688"/>
      <c r="IA15" s="688"/>
      <c r="IB15" s="688"/>
      <c r="IC15" s="688"/>
      <c r="ID15" s="688"/>
      <c r="IE15" s="688"/>
      <c r="IF15" s="688"/>
      <c r="IG15" s="688"/>
      <c r="IH15" s="688"/>
      <c r="II15" s="688"/>
      <c r="IJ15" s="688"/>
      <c r="IK15" s="688"/>
      <c r="IL15" s="688"/>
      <c r="IM15" s="688"/>
      <c r="IN15" s="688"/>
      <c r="IO15" s="688"/>
      <c r="IP15" s="688"/>
      <c r="IQ15" s="688"/>
      <c r="IR15" s="688"/>
      <c r="IS15" s="688"/>
      <c r="IT15" s="688"/>
      <c r="IU15" s="688"/>
      <c r="IV15" s="688"/>
      <c r="IW15" s="688"/>
      <c r="IX15" s="688"/>
      <c r="IY15" s="688"/>
      <c r="IZ15" s="688"/>
      <c r="JA15" s="688"/>
      <c r="JB15" s="688"/>
      <c r="JC15" s="688"/>
      <c r="JD15" s="688"/>
      <c r="JE15" s="688"/>
      <c r="JF15" s="688"/>
      <c r="JG15" s="688"/>
      <c r="JH15" s="688"/>
      <c r="JI15" s="688"/>
      <c r="JJ15" s="688"/>
      <c r="JK15" s="688"/>
      <c r="JL15" s="688"/>
      <c r="JM15" s="688"/>
      <c r="JN15" s="688"/>
      <c r="JO15" s="688"/>
      <c r="JP15" s="688"/>
      <c r="JQ15" s="688"/>
      <c r="JR15" s="688"/>
      <c r="JS15" s="688"/>
      <c r="JT15" s="688"/>
      <c r="JU15" s="688"/>
      <c r="JV15" s="688"/>
      <c r="JW15" s="688"/>
      <c r="JX15" s="688"/>
      <c r="JY15" s="688"/>
      <c r="JZ15" s="688"/>
      <c r="KA15" s="688"/>
      <c r="KB15" s="688"/>
      <c r="KC15" s="688"/>
      <c r="KD15" s="688"/>
      <c r="KE15" s="688"/>
      <c r="KF15" s="688"/>
      <c r="KG15" s="688"/>
      <c r="KH15" s="688"/>
      <c r="KI15" s="688"/>
      <c r="KJ15" s="688"/>
      <c r="KK15" s="688"/>
      <c r="KL15" s="688"/>
      <c r="KM15" s="688"/>
      <c r="KN15" s="688"/>
      <c r="KO15" s="688"/>
      <c r="KP15" s="688"/>
      <c r="KQ15" s="688"/>
      <c r="KR15" s="688"/>
      <c r="KS15" s="688"/>
      <c r="KT15" s="688"/>
      <c r="KU15" s="688"/>
      <c r="KV15" s="688"/>
      <c r="KW15" s="688"/>
      <c r="KX15" s="688"/>
      <c r="KY15" s="688"/>
      <c r="KZ15" s="688"/>
      <c r="LA15" s="688"/>
      <c r="LB15" s="688"/>
      <c r="LC15" s="688"/>
      <c r="LD15" s="688"/>
      <c r="LE15" s="688"/>
      <c r="LF15" s="688"/>
      <c r="LG15" s="688"/>
      <c r="LH15" s="688"/>
      <c r="LI15" s="688"/>
      <c r="LJ15" s="688"/>
      <c r="LK15" s="688"/>
      <c r="LL15" s="688"/>
      <c r="LM15" s="688"/>
      <c r="LN15" s="688"/>
      <c r="LO15" s="688"/>
      <c r="LP15" s="688"/>
      <c r="LQ15" s="688"/>
      <c r="LR15" s="688"/>
      <c r="LS15" s="688"/>
      <c r="LT15" s="688"/>
      <c r="LU15" s="688"/>
      <c r="LV15" s="688"/>
      <c r="LW15" s="688"/>
      <c r="LX15" s="688"/>
      <c r="LY15" s="688"/>
      <c r="LZ15" s="688"/>
      <c r="MA15" s="688"/>
      <c r="MB15" s="688"/>
      <c r="MC15" s="688"/>
      <c r="MD15" s="688"/>
      <c r="ME15" s="688"/>
      <c r="MF15" s="688"/>
      <c r="MG15" s="688"/>
      <c r="MH15" s="688"/>
      <c r="MI15" s="688"/>
      <c r="MJ15" s="688"/>
      <c r="MK15" s="688"/>
      <c r="ML15" s="688"/>
      <c r="MM15" s="688"/>
      <c r="MN15" s="688"/>
      <c r="MO15" s="688"/>
      <c r="MP15" s="688"/>
      <c r="MQ15" s="688"/>
      <c r="MR15" s="688"/>
      <c r="MS15" s="688"/>
      <c r="MT15" s="688"/>
      <c r="MU15" s="688"/>
      <c r="MV15" s="688"/>
      <c r="MW15" s="688"/>
      <c r="MX15" s="688"/>
      <c r="MY15" s="688"/>
      <c r="MZ15" s="688"/>
      <c r="NA15" s="688"/>
      <c r="NB15" s="688"/>
      <c r="NC15" s="688"/>
      <c r="ND15" s="688"/>
      <c r="NE15" s="688"/>
      <c r="NF15" s="688"/>
      <c r="NG15" s="688"/>
      <c r="NH15" s="688"/>
      <c r="NI15" s="688"/>
      <c r="NJ15" s="688"/>
      <c r="NK15" s="688"/>
      <c r="NL15" s="688"/>
      <c r="NM15" s="688"/>
      <c r="NN15" s="688"/>
      <c r="NO15" s="688"/>
      <c r="NP15" s="688"/>
      <c r="NQ15" s="688"/>
      <c r="NR15" s="688"/>
      <c r="NS15" s="688"/>
      <c r="NT15" s="688"/>
      <c r="NU15" s="688"/>
      <c r="NV15" s="688"/>
      <c r="NW15" s="688"/>
      <c r="NX15" s="688"/>
      <c r="NY15" s="688"/>
      <c r="NZ15" s="688"/>
      <c r="OA15" s="688"/>
      <c r="OB15" s="688"/>
      <c r="OC15" s="688"/>
      <c r="OD15" s="688"/>
      <c r="OE15" s="688"/>
      <c r="OF15" s="688"/>
      <c r="OG15" s="688"/>
      <c r="OH15" s="688"/>
      <c r="OI15" s="688"/>
      <c r="OJ15" s="688"/>
      <c r="OK15" s="688"/>
      <c r="OL15" s="688"/>
      <c r="OM15" s="688"/>
      <c r="ON15" s="688"/>
      <c r="OO15" s="688"/>
      <c r="OP15" s="688"/>
      <c r="OQ15" s="688"/>
      <c r="OR15" s="688"/>
      <c r="OS15" s="688"/>
      <c r="OT15" s="688"/>
      <c r="OU15" s="688"/>
      <c r="OV15" s="688"/>
      <c r="OW15" s="688"/>
      <c r="OX15" s="688"/>
      <c r="OY15" s="688"/>
      <c r="OZ15" s="688"/>
      <c r="PA15" s="688"/>
      <c r="PB15" s="688"/>
      <c r="PC15" s="688"/>
      <c r="PD15" s="688"/>
      <c r="PE15" s="688"/>
      <c r="PF15" s="688"/>
      <c r="PG15" s="688"/>
      <c r="PH15" s="688"/>
      <c r="PI15" s="688"/>
      <c r="PJ15" s="688"/>
      <c r="PK15" s="688"/>
      <c r="PL15" s="688"/>
      <c r="PM15" s="688"/>
      <c r="PN15" s="688"/>
      <c r="PO15" s="688"/>
      <c r="PP15" s="688"/>
      <c r="PQ15" s="688"/>
      <c r="PR15" s="688"/>
      <c r="PS15" s="688"/>
      <c r="PT15" s="688"/>
      <c r="PU15" s="688"/>
      <c r="PV15" s="688"/>
      <c r="PW15" s="688"/>
      <c r="PX15" s="688"/>
      <c r="PY15" s="688"/>
      <c r="PZ15" s="688"/>
      <c r="QA15" s="688"/>
      <c r="QB15" s="688"/>
      <c r="QC15" s="688"/>
      <c r="QD15" s="688"/>
      <c r="QE15" s="688"/>
      <c r="QF15" s="688"/>
      <c r="QG15" s="688"/>
      <c r="QH15" s="688"/>
      <c r="QI15" s="688"/>
      <c r="QJ15" s="688"/>
      <c r="QK15" s="688"/>
      <c r="QL15" s="688"/>
      <c r="QM15" s="688"/>
      <c r="QN15" s="688"/>
      <c r="QO15" s="688"/>
      <c r="QP15" s="688"/>
      <c r="QQ15" s="688"/>
      <c r="QR15" s="688"/>
      <c r="QS15" s="688"/>
      <c r="QT15" s="688"/>
      <c r="QU15" s="688"/>
      <c r="QV15" s="688"/>
      <c r="QW15" s="688"/>
      <c r="QX15" s="688"/>
      <c r="QY15" s="688"/>
      <c r="QZ15" s="688"/>
      <c r="RA15" s="688"/>
      <c r="RB15" s="688"/>
      <c r="RC15" s="688"/>
      <c r="RD15" s="688"/>
      <c r="RE15" s="688"/>
      <c r="RF15" s="688"/>
      <c r="RG15" s="688"/>
      <c r="RH15" s="688"/>
      <c r="RI15" s="688"/>
      <c r="RJ15" s="688"/>
      <c r="RK15" s="688"/>
      <c r="RL15" s="688"/>
      <c r="RM15" s="688"/>
      <c r="RN15" s="688"/>
      <c r="RO15" s="688"/>
      <c r="RP15" s="688"/>
      <c r="RQ15" s="688"/>
      <c r="RR15" s="688"/>
      <c r="RS15" s="688"/>
      <c r="RT15" s="688"/>
      <c r="RU15" s="688"/>
      <c r="RV15" s="688"/>
      <c r="RW15" s="688"/>
      <c r="RX15" s="688"/>
      <c r="RY15" s="688"/>
      <c r="RZ15" s="688"/>
      <c r="SA15" s="688"/>
      <c r="SB15" s="688"/>
      <c r="SC15" s="688"/>
      <c r="SD15" s="688"/>
      <c r="SE15" s="688"/>
      <c r="SF15" s="688"/>
      <c r="SG15" s="688"/>
      <c r="SH15" s="688"/>
      <c r="SI15" s="688"/>
      <c r="SJ15" s="688"/>
      <c r="SK15" s="688"/>
      <c r="SL15" s="688"/>
      <c r="SM15" s="688"/>
      <c r="SN15" s="688"/>
      <c r="SO15" s="688"/>
      <c r="SP15" s="688"/>
      <c r="SQ15" s="688"/>
      <c r="SR15" s="688"/>
      <c r="SS15" s="688"/>
      <c r="ST15" s="688"/>
      <c r="SU15" s="688"/>
      <c r="SV15" s="688"/>
      <c r="SW15" s="688"/>
      <c r="SX15" s="688"/>
      <c r="SY15" s="688"/>
      <c r="SZ15" s="688"/>
      <c r="TA15" s="688"/>
      <c r="TB15" s="688"/>
      <c r="TC15" s="688"/>
      <c r="TD15" s="688"/>
      <c r="TE15" s="688"/>
      <c r="TF15" s="688"/>
      <c r="TG15" s="688"/>
      <c r="TH15" s="688"/>
      <c r="TI15" s="688"/>
      <c r="TJ15" s="688"/>
      <c r="TK15" s="688"/>
      <c r="TL15" s="688"/>
      <c r="TM15" s="688"/>
      <c r="TN15" s="688"/>
      <c r="TO15" s="688"/>
      <c r="TP15" s="688"/>
      <c r="TQ15" s="688"/>
      <c r="TR15" s="688"/>
      <c r="TS15" s="688"/>
      <c r="TT15" s="688"/>
      <c r="TU15" s="688"/>
      <c r="TV15" s="688"/>
      <c r="TW15" s="688"/>
      <c r="TX15" s="688"/>
      <c r="TY15" s="688"/>
      <c r="TZ15" s="688"/>
      <c r="UA15" s="688"/>
      <c r="UB15" s="688"/>
      <c r="UC15" s="688"/>
      <c r="UD15" s="688"/>
      <c r="UE15" s="688"/>
      <c r="UF15" s="688"/>
      <c r="UG15" s="688"/>
      <c r="UH15" s="688"/>
      <c r="UI15" s="688"/>
      <c r="UJ15" s="688"/>
      <c r="UK15" s="688"/>
      <c r="UL15" s="688"/>
      <c r="UM15" s="688"/>
      <c r="UN15" s="688"/>
      <c r="UO15" s="688"/>
      <c r="UP15" s="688"/>
      <c r="UQ15" s="688"/>
      <c r="UR15" s="688"/>
      <c r="US15" s="688"/>
      <c r="UT15" s="688"/>
      <c r="UU15" s="688"/>
      <c r="UV15" s="688"/>
      <c r="UW15" s="688"/>
      <c r="UX15" s="688"/>
      <c r="UY15" s="688"/>
      <c r="UZ15" s="688"/>
      <c r="VA15" s="688"/>
      <c r="VB15" s="688"/>
      <c r="VC15" s="688"/>
      <c r="VD15" s="688"/>
      <c r="VE15" s="688"/>
      <c r="VF15" s="688"/>
      <c r="VG15" s="688"/>
      <c r="VH15" s="688"/>
      <c r="VI15" s="688"/>
      <c r="VJ15" s="688"/>
      <c r="VK15" s="688"/>
      <c r="VL15" s="688"/>
      <c r="VM15" s="688"/>
      <c r="VN15" s="688"/>
      <c r="VO15" s="688"/>
      <c r="VP15" s="688"/>
      <c r="VQ15" s="688"/>
      <c r="VR15" s="688"/>
      <c r="VS15" s="688"/>
      <c r="VT15" s="688"/>
      <c r="VU15" s="688"/>
      <c r="VV15" s="688"/>
      <c r="VW15" s="688"/>
      <c r="VX15" s="688"/>
      <c r="VY15" s="688"/>
      <c r="VZ15" s="688"/>
      <c r="WA15" s="688"/>
      <c r="WB15" s="688"/>
      <c r="WC15" s="688"/>
      <c r="WD15" s="688"/>
      <c r="WE15" s="688"/>
      <c r="WF15" s="688"/>
      <c r="WG15" s="688"/>
      <c r="WH15" s="688"/>
      <c r="WI15" s="688"/>
      <c r="WJ15" s="688"/>
      <c r="WK15" s="688"/>
      <c r="WL15" s="688"/>
      <c r="WM15" s="688"/>
      <c r="WN15" s="688"/>
      <c r="WO15" s="688"/>
      <c r="WP15" s="688"/>
      <c r="WQ15" s="688"/>
      <c r="WR15" s="688"/>
      <c r="WS15" s="688"/>
      <c r="WT15" s="688"/>
      <c r="WU15" s="688"/>
      <c r="WV15" s="688"/>
      <c r="WW15" s="688"/>
      <c r="WX15" s="688"/>
      <c r="WY15" s="688"/>
      <c r="WZ15" s="688"/>
      <c r="XA15" s="688"/>
      <c r="XB15" s="688"/>
      <c r="XC15" s="688"/>
      <c r="XD15" s="688"/>
      <c r="XE15" s="688"/>
      <c r="XF15" s="688"/>
      <c r="XG15" s="688"/>
      <c r="XH15" s="688"/>
      <c r="XI15" s="688"/>
      <c r="XJ15" s="688"/>
      <c r="XK15" s="688"/>
      <c r="XL15" s="688"/>
      <c r="XM15" s="688"/>
      <c r="XN15" s="688"/>
      <c r="XO15" s="688"/>
      <c r="XP15" s="688"/>
      <c r="XQ15" s="688"/>
      <c r="XR15" s="688"/>
      <c r="XS15" s="688"/>
      <c r="XT15" s="688"/>
      <c r="XU15" s="688"/>
      <c r="XV15" s="688"/>
      <c r="XW15" s="688"/>
      <c r="XX15" s="688"/>
      <c r="XY15" s="688"/>
      <c r="XZ15" s="688"/>
      <c r="YA15" s="688"/>
      <c r="YB15" s="688"/>
      <c r="YC15" s="688"/>
      <c r="YD15" s="688"/>
      <c r="YE15" s="688"/>
      <c r="YF15" s="688"/>
      <c r="YG15" s="688"/>
      <c r="YH15" s="688"/>
      <c r="YI15" s="688"/>
      <c r="YJ15" s="688"/>
      <c r="YK15" s="688"/>
      <c r="YL15" s="688"/>
      <c r="YM15" s="688"/>
      <c r="YN15" s="688"/>
      <c r="YO15" s="688"/>
      <c r="YP15" s="688"/>
      <c r="YQ15" s="688"/>
      <c r="YR15" s="688"/>
      <c r="YS15" s="688"/>
      <c r="YT15" s="688"/>
      <c r="YU15" s="688"/>
      <c r="YV15" s="688"/>
      <c r="YW15" s="688"/>
      <c r="YX15" s="688"/>
      <c r="YY15" s="688"/>
      <c r="YZ15" s="688"/>
      <c r="ZA15" s="688"/>
      <c r="ZB15" s="688"/>
      <c r="ZC15" s="688"/>
      <c r="ZD15" s="688"/>
      <c r="ZE15" s="688"/>
      <c r="ZF15" s="688"/>
      <c r="ZG15" s="688"/>
      <c r="ZH15" s="688"/>
      <c r="ZI15" s="688"/>
      <c r="ZJ15" s="688"/>
      <c r="ZK15" s="688"/>
      <c r="ZL15" s="688"/>
      <c r="ZM15" s="688"/>
      <c r="ZN15" s="688"/>
      <c r="ZO15" s="688"/>
      <c r="ZP15" s="688"/>
      <c r="ZQ15" s="688"/>
      <c r="ZR15" s="688"/>
      <c r="ZS15" s="688"/>
      <c r="ZT15" s="688"/>
      <c r="ZU15" s="688"/>
      <c r="ZV15" s="688"/>
      <c r="ZW15" s="688"/>
      <c r="ZX15" s="688"/>
      <c r="ZY15" s="688"/>
      <c r="ZZ15" s="688"/>
      <c r="AAA15" s="688"/>
      <c r="AAB15" s="688"/>
      <c r="AAC15" s="688"/>
      <c r="AAD15" s="688"/>
      <c r="AAE15" s="688"/>
      <c r="AAF15" s="688"/>
      <c r="AAG15" s="688"/>
      <c r="AAH15" s="688"/>
      <c r="AAI15" s="688"/>
      <c r="AAJ15" s="688"/>
      <c r="AAK15" s="688"/>
      <c r="AAL15" s="688"/>
      <c r="AAM15" s="688"/>
      <c r="AAN15" s="688"/>
      <c r="AAO15" s="688"/>
      <c r="AAP15" s="688"/>
      <c r="AAQ15" s="688"/>
      <c r="AAR15" s="688"/>
      <c r="AAS15" s="688"/>
      <c r="AAT15" s="688"/>
      <c r="AAU15" s="688"/>
      <c r="AAV15" s="688"/>
      <c r="AAW15" s="688"/>
      <c r="AAX15" s="688"/>
      <c r="AAY15" s="688"/>
      <c r="AAZ15" s="688"/>
      <c r="ABA15" s="688"/>
      <c r="ABB15" s="688"/>
      <c r="ABC15" s="688"/>
      <c r="ABD15" s="688"/>
      <c r="ABE15" s="688"/>
      <c r="ABF15" s="688"/>
      <c r="ABG15" s="688"/>
      <c r="ABH15" s="688"/>
      <c r="ABI15" s="688"/>
      <c r="ABJ15" s="688"/>
      <c r="ABK15" s="688"/>
      <c r="ABL15" s="688"/>
      <c r="ABM15" s="688"/>
      <c r="ABN15" s="688"/>
      <c r="ABO15" s="688"/>
      <c r="ABP15" s="688"/>
      <c r="ABQ15" s="688"/>
      <c r="ABR15" s="688"/>
      <c r="ABS15" s="688"/>
      <c r="ABT15" s="688"/>
      <c r="ABU15" s="688"/>
      <c r="ABV15" s="688"/>
      <c r="ABW15" s="688"/>
      <c r="ABX15" s="688"/>
      <c r="ABY15" s="688"/>
      <c r="ABZ15" s="688"/>
      <c r="ACA15" s="688"/>
      <c r="ACB15" s="688"/>
      <c r="ACC15" s="688"/>
      <c r="ACD15" s="688"/>
      <c r="ACE15" s="688"/>
      <c r="ACF15" s="688"/>
      <c r="ACG15" s="688"/>
      <c r="ACH15" s="688"/>
      <c r="ACI15" s="688"/>
      <c r="ACJ15" s="688"/>
      <c r="ACK15" s="688"/>
      <c r="ACL15" s="688"/>
      <c r="ACM15" s="688"/>
      <c r="ACN15" s="688"/>
      <c r="ACO15" s="688"/>
      <c r="ACP15" s="688"/>
      <c r="ACQ15" s="688"/>
      <c r="ACR15" s="688"/>
      <c r="ACS15" s="688"/>
      <c r="ACT15" s="688"/>
      <c r="ACU15" s="688"/>
      <c r="ACV15" s="688"/>
      <c r="ACW15" s="688"/>
      <c r="ACX15" s="688"/>
      <c r="ACY15" s="688"/>
      <c r="ACZ15" s="688"/>
      <c r="ADA15" s="688"/>
      <c r="ADB15" s="688"/>
      <c r="ADC15" s="688"/>
      <c r="ADD15" s="688"/>
      <c r="ADE15" s="688"/>
      <c r="ADF15" s="688"/>
      <c r="ADG15" s="688"/>
      <c r="ADH15" s="688"/>
      <c r="ADI15" s="688"/>
      <c r="ADJ15" s="688"/>
      <c r="ADK15" s="688"/>
      <c r="ADL15" s="688"/>
      <c r="ADM15" s="688"/>
      <c r="ADN15" s="688"/>
      <c r="ADO15" s="688"/>
      <c r="ADP15" s="688"/>
      <c r="ADQ15" s="688"/>
      <c r="ADR15" s="688"/>
      <c r="ADS15" s="688"/>
      <c r="ADT15" s="688"/>
      <c r="ADU15" s="688"/>
      <c r="ADV15" s="688"/>
      <c r="ADW15" s="688"/>
      <c r="ADX15" s="688"/>
      <c r="ADY15" s="688"/>
      <c r="ADZ15" s="688"/>
      <c r="AEA15" s="688"/>
      <c r="AEB15" s="688"/>
      <c r="AEC15" s="688"/>
      <c r="AED15" s="688"/>
      <c r="AEE15" s="688"/>
      <c r="AEF15" s="688"/>
      <c r="AEG15" s="688"/>
      <c r="AEH15" s="688"/>
      <c r="AEI15" s="688"/>
      <c r="AEJ15" s="688"/>
      <c r="AEK15" s="688"/>
      <c r="AEL15" s="688"/>
      <c r="AEM15" s="688"/>
      <c r="AEN15" s="688"/>
      <c r="AEO15" s="688"/>
      <c r="AEP15" s="688"/>
      <c r="AEQ15" s="688"/>
      <c r="AER15" s="688"/>
      <c r="AES15" s="688"/>
      <c r="AET15" s="688"/>
      <c r="AEU15" s="688"/>
      <c r="AEV15" s="688"/>
      <c r="AEW15" s="688"/>
      <c r="AEX15" s="688"/>
      <c r="AEY15" s="688"/>
      <c r="AEZ15" s="688"/>
      <c r="AFA15" s="688"/>
      <c r="AFB15" s="688"/>
      <c r="AFC15" s="688"/>
      <c r="AFD15" s="688"/>
      <c r="AFE15" s="688"/>
      <c r="AFF15" s="688"/>
      <c r="AFG15" s="688"/>
      <c r="AFH15" s="688"/>
      <c r="AFI15" s="688"/>
      <c r="AFJ15" s="688"/>
      <c r="AFK15" s="688"/>
      <c r="AFL15" s="688"/>
      <c r="AFM15" s="688"/>
      <c r="AFN15" s="688"/>
      <c r="AFO15" s="688"/>
      <c r="AFP15" s="688"/>
      <c r="AFQ15" s="688"/>
      <c r="AFR15" s="688"/>
      <c r="AFS15" s="688"/>
      <c r="AFT15" s="688"/>
      <c r="AFU15" s="688"/>
      <c r="AFV15" s="688"/>
      <c r="AFW15" s="688"/>
      <c r="AFX15" s="688"/>
      <c r="AFY15" s="688"/>
      <c r="AFZ15" s="688"/>
      <c r="AGA15" s="688"/>
      <c r="AGB15" s="688"/>
      <c r="AGC15" s="688"/>
      <c r="AGD15" s="688"/>
      <c r="AGE15" s="688"/>
      <c r="AGF15" s="688"/>
      <c r="AGG15" s="688"/>
      <c r="AGH15" s="688"/>
      <c r="AGI15" s="688"/>
      <c r="AGJ15" s="688"/>
      <c r="AGK15" s="688"/>
      <c r="AGL15" s="688"/>
      <c r="AGM15" s="688"/>
      <c r="AGN15" s="688"/>
      <c r="AGO15" s="688"/>
      <c r="AGP15" s="688"/>
      <c r="AGQ15" s="688"/>
      <c r="AGR15" s="688"/>
      <c r="AGS15" s="688"/>
      <c r="AGT15" s="688"/>
      <c r="AGU15" s="688"/>
      <c r="AGV15" s="688"/>
      <c r="AGW15" s="688"/>
      <c r="AGX15" s="688"/>
      <c r="AGY15" s="688"/>
      <c r="AGZ15" s="688"/>
      <c r="AHA15" s="688"/>
      <c r="AHB15" s="688"/>
      <c r="AHC15" s="688"/>
      <c r="AHD15" s="688"/>
      <c r="AHE15" s="688"/>
      <c r="AHF15" s="688"/>
      <c r="AHG15" s="688"/>
      <c r="AHH15" s="688"/>
      <c r="AHI15" s="688"/>
      <c r="AHJ15" s="688"/>
      <c r="AHK15" s="688"/>
      <c r="AHL15" s="688"/>
      <c r="AHM15" s="688"/>
      <c r="AHN15" s="688"/>
      <c r="AHO15" s="688"/>
      <c r="AHP15" s="688"/>
      <c r="AHQ15" s="688"/>
      <c r="AHR15" s="688"/>
      <c r="AHS15" s="688"/>
      <c r="AHT15" s="688"/>
      <c r="AHU15" s="688"/>
      <c r="AHV15" s="688"/>
      <c r="AHW15" s="688"/>
      <c r="AHX15" s="688"/>
      <c r="AHY15" s="688"/>
      <c r="AHZ15" s="688"/>
      <c r="AIA15" s="688"/>
      <c r="AIB15" s="688"/>
      <c r="AIC15" s="688"/>
      <c r="AID15" s="688"/>
      <c r="AIE15" s="688"/>
      <c r="AIF15" s="688"/>
      <c r="AIG15" s="688"/>
      <c r="AIH15" s="688"/>
      <c r="AII15" s="688"/>
      <c r="AIJ15" s="688"/>
      <c r="AIK15" s="688"/>
      <c r="AIL15" s="688"/>
      <c r="AIM15" s="688"/>
      <c r="AIN15" s="688"/>
      <c r="AIO15" s="688"/>
      <c r="AIP15" s="688"/>
      <c r="AIQ15" s="688"/>
      <c r="AIR15" s="688"/>
      <c r="AIS15" s="688"/>
      <c r="AIT15" s="688"/>
      <c r="AIU15" s="688"/>
      <c r="AIV15" s="688"/>
      <c r="AIW15" s="688"/>
      <c r="AIX15" s="688"/>
      <c r="AIY15" s="688"/>
      <c r="AIZ15" s="688"/>
      <c r="AJA15" s="688"/>
      <c r="AJB15" s="688"/>
      <c r="AJC15" s="688"/>
      <c r="AJD15" s="688"/>
      <c r="AJE15" s="688"/>
      <c r="AJF15" s="688"/>
      <c r="AJG15" s="688"/>
      <c r="AJH15" s="688"/>
      <c r="AJI15" s="688"/>
      <c r="AJJ15" s="688"/>
      <c r="AJK15" s="688"/>
      <c r="AJL15" s="688"/>
      <c r="AJM15" s="688"/>
      <c r="AJN15" s="688"/>
      <c r="AJO15" s="688"/>
      <c r="AJP15" s="688"/>
      <c r="AJQ15" s="688"/>
      <c r="AJR15" s="688"/>
      <c r="AJS15" s="688"/>
      <c r="AJT15" s="688"/>
      <c r="AJU15" s="688"/>
      <c r="AJV15" s="688"/>
      <c r="AJW15" s="688"/>
      <c r="AJX15" s="688"/>
      <c r="AJY15" s="688"/>
      <c r="AJZ15" s="688"/>
      <c r="AKA15" s="688"/>
      <c r="AKB15" s="688"/>
      <c r="AKC15" s="688"/>
      <c r="AKD15" s="688"/>
      <c r="AKE15" s="688"/>
      <c r="AKF15" s="688"/>
      <c r="AKG15" s="688"/>
      <c r="AKH15" s="688"/>
      <c r="AKI15" s="688"/>
      <c r="AKJ15" s="688"/>
      <c r="AKK15" s="688"/>
      <c r="AKL15" s="688"/>
      <c r="AKM15" s="688"/>
      <c r="AKN15" s="688"/>
      <c r="AKO15" s="688"/>
      <c r="AKP15" s="688"/>
      <c r="AKQ15" s="688"/>
      <c r="AKR15" s="688"/>
      <c r="AKS15" s="688"/>
      <c r="AKT15" s="688"/>
      <c r="AKU15" s="688"/>
      <c r="AKV15" s="688"/>
      <c r="AKW15" s="688"/>
      <c r="AKX15" s="688"/>
      <c r="AKY15" s="688"/>
      <c r="AKZ15" s="688"/>
      <c r="ALA15" s="688"/>
      <c r="ALB15" s="688"/>
      <c r="ALC15" s="688"/>
      <c r="ALD15" s="688"/>
      <c r="ALE15" s="688"/>
      <c r="ALF15" s="688"/>
      <c r="ALG15" s="688"/>
      <c r="ALH15" s="688"/>
      <c r="ALI15" s="688"/>
      <c r="ALJ15" s="688"/>
      <c r="ALK15" s="688"/>
      <c r="ALL15" s="688"/>
      <c r="ALM15" s="688"/>
      <c r="ALN15" s="688"/>
      <c r="ALO15" s="688"/>
      <c r="ALP15" s="688"/>
      <c r="ALQ15" s="688"/>
      <c r="ALR15" s="688"/>
      <c r="ALS15" s="688"/>
      <c r="ALT15" s="688"/>
      <c r="ALU15" s="688"/>
      <c r="ALV15" s="688"/>
      <c r="ALW15" s="688"/>
      <c r="ALX15" s="688"/>
      <c r="ALY15" s="688"/>
      <c r="ALZ15" s="688"/>
      <c r="AMA15" s="688"/>
      <c r="AMB15" s="688"/>
      <c r="AMC15" s="688"/>
      <c r="AMD15" s="688"/>
      <c r="AME15" s="688"/>
      <c r="AMF15" s="688"/>
      <c r="AMG15" s="688"/>
      <c r="AMH15" s="688"/>
      <c r="AMI15" s="688"/>
      <c r="AMJ15" s="688"/>
    </row>
    <row r="16" spans="1:1024" s="695" customFormat="1" ht="48" customHeight="1">
      <c r="A16" s="692"/>
      <c r="B16" s="692"/>
      <c r="C16" s="692"/>
      <c r="D16" s="693" t="s">
        <v>696</v>
      </c>
      <c r="E16" s="694" t="e">
        <f>#REF!</f>
        <v>#REF!</v>
      </c>
      <c r="F16" s="692" t="s">
        <v>697</v>
      </c>
      <c r="P16" s="689"/>
      <c r="Q16" s="690"/>
    </row>
    <row r="17" spans="1:1024" ht="57.75" customHeight="1">
      <c r="A17" s="692"/>
      <c r="B17" s="1649" t="s">
        <v>698</v>
      </c>
      <c r="C17" s="1649"/>
      <c r="D17" s="1649"/>
      <c r="E17" s="1649"/>
      <c r="F17" s="1649"/>
      <c r="G17" s="688"/>
      <c r="H17" s="688"/>
      <c r="I17" s="688"/>
      <c r="J17" s="688"/>
      <c r="K17" s="688"/>
      <c r="L17" s="688"/>
      <c r="M17" s="688"/>
      <c r="N17" s="688"/>
      <c r="O17" s="688"/>
      <c r="P17" s="689"/>
      <c r="Q17" s="690"/>
      <c r="R17" s="688"/>
      <c r="S17" s="688"/>
      <c r="T17" s="688"/>
      <c r="U17" s="688"/>
      <c r="V17" s="688"/>
      <c r="W17" s="688"/>
      <c r="X17" s="688"/>
      <c r="Y17" s="688"/>
      <c r="Z17" s="688"/>
      <c r="AA17" s="688"/>
      <c r="AB17" s="688"/>
      <c r="AC17" s="688"/>
      <c r="AD17" s="688"/>
      <c r="AE17" s="688"/>
      <c r="AF17" s="688"/>
      <c r="AG17" s="688"/>
      <c r="AH17" s="688"/>
      <c r="AI17" s="688"/>
      <c r="AJ17" s="688"/>
      <c r="AK17" s="688"/>
      <c r="AL17" s="688"/>
      <c r="AM17" s="688"/>
      <c r="AN17" s="688"/>
      <c r="AO17" s="688"/>
      <c r="AP17" s="688"/>
      <c r="AQ17" s="688"/>
      <c r="AR17" s="688"/>
      <c r="AS17" s="688"/>
      <c r="AT17" s="688"/>
      <c r="AU17" s="688"/>
      <c r="AV17" s="688"/>
      <c r="AW17" s="688"/>
      <c r="AX17" s="688"/>
      <c r="AY17" s="688"/>
      <c r="AZ17" s="688"/>
      <c r="BA17" s="688"/>
      <c r="BB17" s="688"/>
      <c r="BC17" s="688"/>
      <c r="BD17" s="688"/>
      <c r="BE17" s="688"/>
      <c r="BF17" s="688"/>
      <c r="BG17" s="688"/>
      <c r="BH17" s="688"/>
      <c r="BI17" s="688"/>
      <c r="BJ17" s="688"/>
      <c r="BK17" s="688"/>
      <c r="BL17" s="688"/>
      <c r="BM17" s="688"/>
      <c r="BN17" s="688"/>
      <c r="BO17" s="688"/>
      <c r="BP17" s="688"/>
      <c r="BQ17" s="688"/>
      <c r="BR17" s="688"/>
      <c r="BS17" s="688"/>
      <c r="BT17" s="688"/>
      <c r="BU17" s="688"/>
      <c r="BV17" s="688"/>
      <c r="BW17" s="688"/>
      <c r="BX17" s="688"/>
      <c r="BY17" s="688"/>
      <c r="BZ17" s="688"/>
      <c r="CA17" s="688"/>
      <c r="CB17" s="688"/>
      <c r="CC17" s="688"/>
      <c r="CD17" s="688"/>
      <c r="CE17" s="688"/>
      <c r="CF17" s="688"/>
      <c r="CG17" s="688"/>
      <c r="CH17" s="688"/>
      <c r="CI17" s="688"/>
      <c r="CJ17" s="688"/>
      <c r="CK17" s="688"/>
      <c r="CL17" s="688"/>
      <c r="CM17" s="688"/>
      <c r="CN17" s="688"/>
      <c r="CO17" s="688"/>
      <c r="CP17" s="688"/>
      <c r="CQ17" s="688"/>
      <c r="CR17" s="688"/>
      <c r="CS17" s="688"/>
      <c r="CT17" s="688"/>
      <c r="CU17" s="688"/>
      <c r="CV17" s="688"/>
      <c r="CW17" s="688"/>
      <c r="CX17" s="688"/>
      <c r="CY17" s="688"/>
      <c r="CZ17" s="688"/>
      <c r="DA17" s="688"/>
      <c r="DB17" s="688"/>
      <c r="DC17" s="688"/>
      <c r="DD17" s="688"/>
      <c r="DE17" s="688"/>
      <c r="DF17" s="688"/>
      <c r="DG17" s="688"/>
      <c r="DH17" s="688"/>
      <c r="DI17" s="688"/>
      <c r="DJ17" s="688"/>
      <c r="DK17" s="688"/>
      <c r="DL17" s="688"/>
      <c r="DM17" s="688"/>
      <c r="DN17" s="688"/>
      <c r="DO17" s="688"/>
      <c r="DP17" s="688"/>
      <c r="DQ17" s="688"/>
      <c r="DR17" s="688"/>
      <c r="DS17" s="688"/>
      <c r="DT17" s="688"/>
      <c r="DU17" s="688"/>
      <c r="DV17" s="688"/>
      <c r="DW17" s="688"/>
      <c r="DX17" s="688"/>
      <c r="DY17" s="688"/>
      <c r="DZ17" s="688"/>
      <c r="EA17" s="688"/>
      <c r="EB17" s="688"/>
      <c r="EC17" s="688"/>
      <c r="ED17" s="688"/>
      <c r="EE17" s="688"/>
      <c r="EF17" s="688"/>
      <c r="EG17" s="688"/>
      <c r="EH17" s="688"/>
      <c r="EI17" s="688"/>
      <c r="EJ17" s="688"/>
      <c r="EK17" s="688"/>
      <c r="EL17" s="688"/>
      <c r="EM17" s="688"/>
      <c r="EN17" s="688"/>
      <c r="EO17" s="688"/>
      <c r="EP17" s="688"/>
      <c r="EQ17" s="688"/>
      <c r="ER17" s="688"/>
      <c r="ES17" s="688"/>
      <c r="ET17" s="688"/>
      <c r="EU17" s="688"/>
      <c r="EV17" s="688"/>
      <c r="EW17" s="688"/>
      <c r="EX17" s="688"/>
      <c r="EY17" s="688"/>
      <c r="EZ17" s="688"/>
      <c r="FA17" s="688"/>
      <c r="FB17" s="688"/>
      <c r="FC17" s="688"/>
      <c r="FD17" s="688"/>
      <c r="FE17" s="688"/>
      <c r="FF17" s="688"/>
      <c r="FG17" s="688"/>
      <c r="FH17" s="688"/>
      <c r="FI17" s="688"/>
      <c r="FJ17" s="688"/>
      <c r="FK17" s="688"/>
      <c r="FL17" s="688"/>
      <c r="FM17" s="688"/>
      <c r="FN17" s="688"/>
      <c r="FO17" s="688"/>
      <c r="FP17" s="688"/>
      <c r="FQ17" s="688"/>
      <c r="FR17" s="688"/>
      <c r="FS17" s="688"/>
      <c r="FT17" s="688"/>
      <c r="FU17" s="688"/>
      <c r="FV17" s="688"/>
      <c r="FW17" s="688"/>
      <c r="FX17" s="688"/>
      <c r="FY17" s="688"/>
      <c r="FZ17" s="688"/>
      <c r="GA17" s="688"/>
      <c r="GB17" s="688"/>
      <c r="GC17" s="688"/>
      <c r="GD17" s="688"/>
      <c r="GE17" s="688"/>
      <c r="GF17" s="688"/>
      <c r="GG17" s="688"/>
      <c r="GH17" s="688"/>
      <c r="GI17" s="688"/>
      <c r="GJ17" s="688"/>
      <c r="GK17" s="688"/>
      <c r="GL17" s="688"/>
      <c r="GM17" s="688"/>
      <c r="GN17" s="688"/>
      <c r="GO17" s="688"/>
      <c r="GP17" s="688"/>
      <c r="GQ17" s="688"/>
      <c r="GR17" s="688"/>
      <c r="GS17" s="688"/>
      <c r="GT17" s="688"/>
      <c r="GU17" s="688"/>
      <c r="GV17" s="688"/>
      <c r="GW17" s="688"/>
      <c r="GX17" s="688"/>
      <c r="GY17" s="688"/>
      <c r="GZ17" s="688"/>
      <c r="HA17" s="688"/>
      <c r="HB17" s="688"/>
      <c r="HC17" s="688"/>
      <c r="HD17" s="688"/>
      <c r="HE17" s="688"/>
      <c r="HF17" s="688"/>
      <c r="HG17" s="688"/>
      <c r="HH17" s="688"/>
      <c r="HI17" s="688"/>
      <c r="HJ17" s="688"/>
      <c r="HK17" s="688"/>
      <c r="HL17" s="688"/>
      <c r="HM17" s="688"/>
      <c r="HN17" s="688"/>
      <c r="HO17" s="688"/>
      <c r="HP17" s="688"/>
      <c r="HQ17" s="688"/>
      <c r="HR17" s="688"/>
      <c r="HS17" s="688"/>
      <c r="HT17" s="688"/>
      <c r="HU17" s="688"/>
      <c r="HV17" s="688"/>
      <c r="HW17" s="688"/>
      <c r="HX17" s="688"/>
      <c r="HY17" s="688"/>
      <c r="HZ17" s="688"/>
      <c r="IA17" s="688"/>
      <c r="IB17" s="688"/>
      <c r="IC17" s="688"/>
      <c r="ID17" s="688"/>
      <c r="IE17" s="688"/>
      <c r="IF17" s="688"/>
      <c r="IG17" s="688"/>
      <c r="IH17" s="688"/>
      <c r="II17" s="688"/>
      <c r="IJ17" s="688"/>
      <c r="IK17" s="688"/>
      <c r="IL17" s="688"/>
      <c r="IM17" s="688"/>
      <c r="IN17" s="688"/>
      <c r="IO17" s="688"/>
      <c r="IP17" s="688"/>
      <c r="IQ17" s="688"/>
      <c r="IR17" s="688"/>
      <c r="IS17" s="688"/>
      <c r="IT17" s="688"/>
      <c r="IU17" s="688"/>
      <c r="IV17" s="688"/>
      <c r="IW17" s="688"/>
      <c r="IX17" s="688"/>
      <c r="IY17" s="688"/>
      <c r="IZ17" s="688"/>
      <c r="JA17" s="688"/>
      <c r="JB17" s="688"/>
      <c r="JC17" s="688"/>
      <c r="JD17" s="688"/>
      <c r="JE17" s="688"/>
      <c r="JF17" s="688"/>
      <c r="JG17" s="688"/>
      <c r="JH17" s="688"/>
      <c r="JI17" s="688"/>
      <c r="JJ17" s="688"/>
      <c r="JK17" s="688"/>
      <c r="JL17" s="688"/>
      <c r="JM17" s="688"/>
      <c r="JN17" s="688"/>
      <c r="JO17" s="688"/>
      <c r="JP17" s="688"/>
      <c r="JQ17" s="688"/>
      <c r="JR17" s="688"/>
      <c r="JS17" s="688"/>
      <c r="JT17" s="688"/>
      <c r="JU17" s="688"/>
      <c r="JV17" s="688"/>
      <c r="JW17" s="688"/>
      <c r="JX17" s="688"/>
      <c r="JY17" s="688"/>
      <c r="JZ17" s="688"/>
      <c r="KA17" s="688"/>
      <c r="KB17" s="688"/>
      <c r="KC17" s="688"/>
      <c r="KD17" s="688"/>
      <c r="KE17" s="688"/>
      <c r="KF17" s="688"/>
      <c r="KG17" s="688"/>
      <c r="KH17" s="688"/>
      <c r="KI17" s="688"/>
      <c r="KJ17" s="688"/>
      <c r="KK17" s="688"/>
      <c r="KL17" s="688"/>
      <c r="KM17" s="688"/>
      <c r="KN17" s="688"/>
      <c r="KO17" s="688"/>
      <c r="KP17" s="688"/>
      <c r="KQ17" s="688"/>
      <c r="KR17" s="688"/>
      <c r="KS17" s="688"/>
      <c r="KT17" s="688"/>
      <c r="KU17" s="688"/>
      <c r="KV17" s="688"/>
      <c r="KW17" s="688"/>
      <c r="KX17" s="688"/>
      <c r="KY17" s="688"/>
      <c r="KZ17" s="688"/>
      <c r="LA17" s="688"/>
      <c r="LB17" s="688"/>
      <c r="LC17" s="688"/>
      <c r="LD17" s="688"/>
      <c r="LE17" s="688"/>
      <c r="LF17" s="688"/>
      <c r="LG17" s="688"/>
      <c r="LH17" s="688"/>
      <c r="LI17" s="688"/>
      <c r="LJ17" s="688"/>
      <c r="LK17" s="688"/>
      <c r="LL17" s="688"/>
      <c r="LM17" s="688"/>
      <c r="LN17" s="688"/>
      <c r="LO17" s="688"/>
      <c r="LP17" s="688"/>
      <c r="LQ17" s="688"/>
      <c r="LR17" s="688"/>
      <c r="LS17" s="688"/>
      <c r="LT17" s="688"/>
      <c r="LU17" s="688"/>
      <c r="LV17" s="688"/>
      <c r="LW17" s="688"/>
      <c r="LX17" s="688"/>
      <c r="LY17" s="688"/>
      <c r="LZ17" s="688"/>
      <c r="MA17" s="688"/>
      <c r="MB17" s="688"/>
      <c r="MC17" s="688"/>
      <c r="MD17" s="688"/>
      <c r="ME17" s="688"/>
      <c r="MF17" s="688"/>
      <c r="MG17" s="688"/>
      <c r="MH17" s="688"/>
      <c r="MI17" s="688"/>
      <c r="MJ17" s="688"/>
      <c r="MK17" s="688"/>
      <c r="ML17" s="688"/>
      <c r="MM17" s="688"/>
      <c r="MN17" s="688"/>
      <c r="MO17" s="688"/>
      <c r="MP17" s="688"/>
      <c r="MQ17" s="688"/>
      <c r="MR17" s="688"/>
      <c r="MS17" s="688"/>
      <c r="MT17" s="688"/>
      <c r="MU17" s="688"/>
      <c r="MV17" s="688"/>
      <c r="MW17" s="688"/>
      <c r="MX17" s="688"/>
      <c r="MY17" s="688"/>
      <c r="MZ17" s="688"/>
      <c r="NA17" s="688"/>
      <c r="NB17" s="688"/>
      <c r="NC17" s="688"/>
      <c r="ND17" s="688"/>
      <c r="NE17" s="688"/>
      <c r="NF17" s="688"/>
      <c r="NG17" s="688"/>
      <c r="NH17" s="688"/>
      <c r="NI17" s="688"/>
      <c r="NJ17" s="688"/>
      <c r="NK17" s="688"/>
      <c r="NL17" s="688"/>
      <c r="NM17" s="688"/>
      <c r="NN17" s="688"/>
      <c r="NO17" s="688"/>
      <c r="NP17" s="688"/>
      <c r="NQ17" s="688"/>
      <c r="NR17" s="688"/>
      <c r="NS17" s="688"/>
      <c r="NT17" s="688"/>
      <c r="NU17" s="688"/>
      <c r="NV17" s="688"/>
      <c r="NW17" s="688"/>
      <c r="NX17" s="688"/>
      <c r="NY17" s="688"/>
      <c r="NZ17" s="688"/>
      <c r="OA17" s="688"/>
      <c r="OB17" s="688"/>
      <c r="OC17" s="688"/>
      <c r="OD17" s="688"/>
      <c r="OE17" s="688"/>
      <c r="OF17" s="688"/>
      <c r="OG17" s="688"/>
      <c r="OH17" s="688"/>
      <c r="OI17" s="688"/>
      <c r="OJ17" s="688"/>
      <c r="OK17" s="688"/>
      <c r="OL17" s="688"/>
      <c r="OM17" s="688"/>
      <c r="ON17" s="688"/>
      <c r="OO17" s="688"/>
      <c r="OP17" s="688"/>
      <c r="OQ17" s="688"/>
      <c r="OR17" s="688"/>
      <c r="OS17" s="688"/>
      <c r="OT17" s="688"/>
      <c r="OU17" s="688"/>
      <c r="OV17" s="688"/>
      <c r="OW17" s="688"/>
      <c r="OX17" s="688"/>
      <c r="OY17" s="688"/>
      <c r="OZ17" s="688"/>
      <c r="PA17" s="688"/>
      <c r="PB17" s="688"/>
      <c r="PC17" s="688"/>
      <c r="PD17" s="688"/>
      <c r="PE17" s="688"/>
      <c r="PF17" s="688"/>
      <c r="PG17" s="688"/>
      <c r="PH17" s="688"/>
      <c r="PI17" s="688"/>
      <c r="PJ17" s="688"/>
      <c r="PK17" s="688"/>
      <c r="PL17" s="688"/>
      <c r="PM17" s="688"/>
      <c r="PN17" s="688"/>
      <c r="PO17" s="688"/>
      <c r="PP17" s="688"/>
      <c r="PQ17" s="688"/>
      <c r="PR17" s="688"/>
      <c r="PS17" s="688"/>
      <c r="PT17" s="688"/>
      <c r="PU17" s="688"/>
      <c r="PV17" s="688"/>
      <c r="PW17" s="688"/>
      <c r="PX17" s="688"/>
      <c r="PY17" s="688"/>
      <c r="PZ17" s="688"/>
      <c r="QA17" s="688"/>
      <c r="QB17" s="688"/>
      <c r="QC17" s="688"/>
      <c r="QD17" s="688"/>
      <c r="QE17" s="688"/>
      <c r="QF17" s="688"/>
      <c r="QG17" s="688"/>
      <c r="QH17" s="688"/>
      <c r="QI17" s="688"/>
      <c r="QJ17" s="688"/>
      <c r="QK17" s="688"/>
      <c r="QL17" s="688"/>
      <c r="QM17" s="688"/>
      <c r="QN17" s="688"/>
      <c r="QO17" s="688"/>
      <c r="QP17" s="688"/>
      <c r="QQ17" s="688"/>
      <c r="QR17" s="688"/>
      <c r="QS17" s="688"/>
      <c r="QT17" s="688"/>
      <c r="QU17" s="688"/>
      <c r="QV17" s="688"/>
      <c r="QW17" s="688"/>
      <c r="QX17" s="688"/>
      <c r="QY17" s="688"/>
      <c r="QZ17" s="688"/>
      <c r="RA17" s="688"/>
      <c r="RB17" s="688"/>
      <c r="RC17" s="688"/>
      <c r="RD17" s="688"/>
      <c r="RE17" s="688"/>
      <c r="RF17" s="688"/>
      <c r="RG17" s="688"/>
      <c r="RH17" s="688"/>
      <c r="RI17" s="688"/>
      <c r="RJ17" s="688"/>
      <c r="RK17" s="688"/>
      <c r="RL17" s="688"/>
      <c r="RM17" s="688"/>
      <c r="RN17" s="688"/>
      <c r="RO17" s="688"/>
      <c r="RP17" s="688"/>
      <c r="RQ17" s="688"/>
      <c r="RR17" s="688"/>
      <c r="RS17" s="688"/>
      <c r="RT17" s="688"/>
      <c r="RU17" s="688"/>
      <c r="RV17" s="688"/>
      <c r="RW17" s="688"/>
      <c r="RX17" s="688"/>
      <c r="RY17" s="688"/>
      <c r="RZ17" s="688"/>
      <c r="SA17" s="688"/>
      <c r="SB17" s="688"/>
      <c r="SC17" s="688"/>
      <c r="SD17" s="688"/>
      <c r="SE17" s="688"/>
      <c r="SF17" s="688"/>
      <c r="SG17" s="688"/>
      <c r="SH17" s="688"/>
      <c r="SI17" s="688"/>
      <c r="SJ17" s="688"/>
      <c r="SK17" s="688"/>
      <c r="SL17" s="688"/>
      <c r="SM17" s="688"/>
      <c r="SN17" s="688"/>
      <c r="SO17" s="688"/>
      <c r="SP17" s="688"/>
      <c r="SQ17" s="688"/>
      <c r="SR17" s="688"/>
      <c r="SS17" s="688"/>
      <c r="ST17" s="688"/>
      <c r="SU17" s="688"/>
      <c r="SV17" s="688"/>
      <c r="SW17" s="688"/>
      <c r="SX17" s="688"/>
      <c r="SY17" s="688"/>
      <c r="SZ17" s="688"/>
      <c r="TA17" s="688"/>
      <c r="TB17" s="688"/>
      <c r="TC17" s="688"/>
      <c r="TD17" s="688"/>
      <c r="TE17" s="688"/>
      <c r="TF17" s="688"/>
      <c r="TG17" s="688"/>
      <c r="TH17" s="688"/>
      <c r="TI17" s="688"/>
      <c r="TJ17" s="688"/>
      <c r="TK17" s="688"/>
      <c r="TL17" s="688"/>
      <c r="TM17" s="688"/>
      <c r="TN17" s="688"/>
      <c r="TO17" s="688"/>
      <c r="TP17" s="688"/>
      <c r="TQ17" s="688"/>
      <c r="TR17" s="688"/>
      <c r="TS17" s="688"/>
      <c r="TT17" s="688"/>
      <c r="TU17" s="688"/>
      <c r="TV17" s="688"/>
      <c r="TW17" s="688"/>
      <c r="TX17" s="688"/>
      <c r="TY17" s="688"/>
      <c r="TZ17" s="688"/>
      <c r="UA17" s="688"/>
      <c r="UB17" s="688"/>
      <c r="UC17" s="688"/>
      <c r="UD17" s="688"/>
      <c r="UE17" s="688"/>
      <c r="UF17" s="688"/>
      <c r="UG17" s="688"/>
      <c r="UH17" s="688"/>
      <c r="UI17" s="688"/>
      <c r="UJ17" s="688"/>
      <c r="UK17" s="688"/>
      <c r="UL17" s="688"/>
      <c r="UM17" s="688"/>
      <c r="UN17" s="688"/>
      <c r="UO17" s="688"/>
      <c r="UP17" s="688"/>
      <c r="UQ17" s="688"/>
      <c r="UR17" s="688"/>
      <c r="US17" s="688"/>
      <c r="UT17" s="688"/>
      <c r="UU17" s="688"/>
      <c r="UV17" s="688"/>
      <c r="UW17" s="688"/>
      <c r="UX17" s="688"/>
      <c r="UY17" s="688"/>
      <c r="UZ17" s="688"/>
      <c r="VA17" s="688"/>
      <c r="VB17" s="688"/>
      <c r="VC17" s="688"/>
      <c r="VD17" s="688"/>
      <c r="VE17" s="688"/>
      <c r="VF17" s="688"/>
      <c r="VG17" s="688"/>
      <c r="VH17" s="688"/>
      <c r="VI17" s="688"/>
      <c r="VJ17" s="688"/>
      <c r="VK17" s="688"/>
      <c r="VL17" s="688"/>
      <c r="VM17" s="688"/>
      <c r="VN17" s="688"/>
      <c r="VO17" s="688"/>
      <c r="VP17" s="688"/>
      <c r="VQ17" s="688"/>
      <c r="VR17" s="688"/>
      <c r="VS17" s="688"/>
      <c r="VT17" s="688"/>
      <c r="VU17" s="688"/>
      <c r="VV17" s="688"/>
      <c r="VW17" s="688"/>
      <c r="VX17" s="688"/>
      <c r="VY17" s="688"/>
      <c r="VZ17" s="688"/>
      <c r="WA17" s="688"/>
      <c r="WB17" s="688"/>
      <c r="WC17" s="688"/>
      <c r="WD17" s="688"/>
      <c r="WE17" s="688"/>
      <c r="WF17" s="688"/>
      <c r="WG17" s="688"/>
      <c r="WH17" s="688"/>
      <c r="WI17" s="688"/>
      <c r="WJ17" s="688"/>
      <c r="WK17" s="688"/>
      <c r="WL17" s="688"/>
      <c r="WM17" s="688"/>
      <c r="WN17" s="688"/>
      <c r="WO17" s="688"/>
      <c r="WP17" s="688"/>
      <c r="WQ17" s="688"/>
      <c r="WR17" s="688"/>
      <c r="WS17" s="688"/>
      <c r="WT17" s="688"/>
      <c r="WU17" s="688"/>
      <c r="WV17" s="688"/>
      <c r="WW17" s="688"/>
      <c r="WX17" s="688"/>
      <c r="WY17" s="688"/>
      <c r="WZ17" s="688"/>
      <c r="XA17" s="688"/>
      <c r="XB17" s="688"/>
      <c r="XC17" s="688"/>
      <c r="XD17" s="688"/>
      <c r="XE17" s="688"/>
      <c r="XF17" s="688"/>
      <c r="XG17" s="688"/>
      <c r="XH17" s="688"/>
      <c r="XI17" s="688"/>
      <c r="XJ17" s="688"/>
      <c r="XK17" s="688"/>
      <c r="XL17" s="688"/>
      <c r="XM17" s="688"/>
      <c r="XN17" s="688"/>
      <c r="XO17" s="688"/>
      <c r="XP17" s="688"/>
      <c r="XQ17" s="688"/>
      <c r="XR17" s="688"/>
      <c r="XS17" s="688"/>
      <c r="XT17" s="688"/>
      <c r="XU17" s="688"/>
      <c r="XV17" s="688"/>
      <c r="XW17" s="688"/>
      <c r="XX17" s="688"/>
      <c r="XY17" s="688"/>
      <c r="XZ17" s="688"/>
      <c r="YA17" s="688"/>
      <c r="YB17" s="688"/>
      <c r="YC17" s="688"/>
      <c r="YD17" s="688"/>
      <c r="YE17" s="688"/>
      <c r="YF17" s="688"/>
      <c r="YG17" s="688"/>
      <c r="YH17" s="688"/>
      <c r="YI17" s="688"/>
      <c r="YJ17" s="688"/>
      <c r="YK17" s="688"/>
      <c r="YL17" s="688"/>
      <c r="YM17" s="688"/>
      <c r="YN17" s="688"/>
      <c r="YO17" s="688"/>
      <c r="YP17" s="688"/>
      <c r="YQ17" s="688"/>
      <c r="YR17" s="688"/>
      <c r="YS17" s="688"/>
      <c r="YT17" s="688"/>
      <c r="YU17" s="688"/>
      <c r="YV17" s="688"/>
      <c r="YW17" s="688"/>
      <c r="YX17" s="688"/>
      <c r="YY17" s="688"/>
      <c r="YZ17" s="688"/>
      <c r="ZA17" s="688"/>
      <c r="ZB17" s="688"/>
      <c r="ZC17" s="688"/>
      <c r="ZD17" s="688"/>
      <c r="ZE17" s="688"/>
      <c r="ZF17" s="688"/>
      <c r="ZG17" s="688"/>
      <c r="ZH17" s="688"/>
      <c r="ZI17" s="688"/>
      <c r="ZJ17" s="688"/>
      <c r="ZK17" s="688"/>
      <c r="ZL17" s="688"/>
      <c r="ZM17" s="688"/>
      <c r="ZN17" s="688"/>
      <c r="ZO17" s="688"/>
      <c r="ZP17" s="688"/>
      <c r="ZQ17" s="688"/>
      <c r="ZR17" s="688"/>
      <c r="ZS17" s="688"/>
      <c r="ZT17" s="688"/>
      <c r="ZU17" s="688"/>
      <c r="ZV17" s="688"/>
      <c r="ZW17" s="688"/>
      <c r="ZX17" s="688"/>
      <c r="ZY17" s="688"/>
      <c r="ZZ17" s="688"/>
      <c r="AAA17" s="688"/>
      <c r="AAB17" s="688"/>
      <c r="AAC17" s="688"/>
      <c r="AAD17" s="688"/>
      <c r="AAE17" s="688"/>
      <c r="AAF17" s="688"/>
      <c r="AAG17" s="688"/>
      <c r="AAH17" s="688"/>
      <c r="AAI17" s="688"/>
      <c r="AAJ17" s="688"/>
      <c r="AAK17" s="688"/>
      <c r="AAL17" s="688"/>
      <c r="AAM17" s="688"/>
      <c r="AAN17" s="688"/>
      <c r="AAO17" s="688"/>
      <c r="AAP17" s="688"/>
      <c r="AAQ17" s="688"/>
      <c r="AAR17" s="688"/>
      <c r="AAS17" s="688"/>
      <c r="AAT17" s="688"/>
      <c r="AAU17" s="688"/>
      <c r="AAV17" s="688"/>
      <c r="AAW17" s="688"/>
      <c r="AAX17" s="688"/>
      <c r="AAY17" s="688"/>
      <c r="AAZ17" s="688"/>
      <c r="ABA17" s="688"/>
      <c r="ABB17" s="688"/>
      <c r="ABC17" s="688"/>
      <c r="ABD17" s="688"/>
      <c r="ABE17" s="688"/>
      <c r="ABF17" s="688"/>
      <c r="ABG17" s="688"/>
      <c r="ABH17" s="688"/>
      <c r="ABI17" s="688"/>
      <c r="ABJ17" s="688"/>
      <c r="ABK17" s="688"/>
      <c r="ABL17" s="688"/>
      <c r="ABM17" s="688"/>
      <c r="ABN17" s="688"/>
      <c r="ABO17" s="688"/>
      <c r="ABP17" s="688"/>
      <c r="ABQ17" s="688"/>
      <c r="ABR17" s="688"/>
      <c r="ABS17" s="688"/>
      <c r="ABT17" s="688"/>
      <c r="ABU17" s="688"/>
      <c r="ABV17" s="688"/>
      <c r="ABW17" s="688"/>
      <c r="ABX17" s="688"/>
      <c r="ABY17" s="688"/>
      <c r="ABZ17" s="688"/>
      <c r="ACA17" s="688"/>
      <c r="ACB17" s="688"/>
      <c r="ACC17" s="688"/>
      <c r="ACD17" s="688"/>
      <c r="ACE17" s="688"/>
      <c r="ACF17" s="688"/>
      <c r="ACG17" s="688"/>
      <c r="ACH17" s="688"/>
      <c r="ACI17" s="688"/>
      <c r="ACJ17" s="688"/>
      <c r="ACK17" s="688"/>
      <c r="ACL17" s="688"/>
      <c r="ACM17" s="688"/>
      <c r="ACN17" s="688"/>
      <c r="ACO17" s="688"/>
      <c r="ACP17" s="688"/>
      <c r="ACQ17" s="688"/>
      <c r="ACR17" s="688"/>
      <c r="ACS17" s="688"/>
      <c r="ACT17" s="688"/>
      <c r="ACU17" s="688"/>
      <c r="ACV17" s="688"/>
      <c r="ACW17" s="688"/>
      <c r="ACX17" s="688"/>
      <c r="ACY17" s="688"/>
      <c r="ACZ17" s="688"/>
      <c r="ADA17" s="688"/>
      <c r="ADB17" s="688"/>
      <c r="ADC17" s="688"/>
      <c r="ADD17" s="688"/>
      <c r="ADE17" s="688"/>
      <c r="ADF17" s="688"/>
      <c r="ADG17" s="688"/>
      <c r="ADH17" s="688"/>
      <c r="ADI17" s="688"/>
      <c r="ADJ17" s="688"/>
      <c r="ADK17" s="688"/>
      <c r="ADL17" s="688"/>
      <c r="ADM17" s="688"/>
      <c r="ADN17" s="688"/>
      <c r="ADO17" s="688"/>
      <c r="ADP17" s="688"/>
      <c r="ADQ17" s="688"/>
      <c r="ADR17" s="688"/>
      <c r="ADS17" s="688"/>
      <c r="ADT17" s="688"/>
      <c r="ADU17" s="688"/>
      <c r="ADV17" s="688"/>
      <c r="ADW17" s="688"/>
      <c r="ADX17" s="688"/>
      <c r="ADY17" s="688"/>
      <c r="ADZ17" s="688"/>
      <c r="AEA17" s="688"/>
      <c r="AEB17" s="688"/>
      <c r="AEC17" s="688"/>
      <c r="AED17" s="688"/>
      <c r="AEE17" s="688"/>
      <c r="AEF17" s="688"/>
      <c r="AEG17" s="688"/>
      <c r="AEH17" s="688"/>
      <c r="AEI17" s="688"/>
      <c r="AEJ17" s="688"/>
      <c r="AEK17" s="688"/>
      <c r="AEL17" s="688"/>
      <c r="AEM17" s="688"/>
      <c r="AEN17" s="688"/>
      <c r="AEO17" s="688"/>
      <c r="AEP17" s="688"/>
      <c r="AEQ17" s="688"/>
      <c r="AER17" s="688"/>
      <c r="AES17" s="688"/>
      <c r="AET17" s="688"/>
      <c r="AEU17" s="688"/>
      <c r="AEV17" s="688"/>
      <c r="AEW17" s="688"/>
      <c r="AEX17" s="688"/>
      <c r="AEY17" s="688"/>
      <c r="AEZ17" s="688"/>
      <c r="AFA17" s="688"/>
      <c r="AFB17" s="688"/>
      <c r="AFC17" s="688"/>
      <c r="AFD17" s="688"/>
      <c r="AFE17" s="688"/>
      <c r="AFF17" s="688"/>
      <c r="AFG17" s="688"/>
      <c r="AFH17" s="688"/>
      <c r="AFI17" s="688"/>
      <c r="AFJ17" s="688"/>
      <c r="AFK17" s="688"/>
      <c r="AFL17" s="688"/>
      <c r="AFM17" s="688"/>
      <c r="AFN17" s="688"/>
      <c r="AFO17" s="688"/>
      <c r="AFP17" s="688"/>
      <c r="AFQ17" s="688"/>
      <c r="AFR17" s="688"/>
      <c r="AFS17" s="688"/>
      <c r="AFT17" s="688"/>
      <c r="AFU17" s="688"/>
      <c r="AFV17" s="688"/>
      <c r="AFW17" s="688"/>
      <c r="AFX17" s="688"/>
      <c r="AFY17" s="688"/>
      <c r="AFZ17" s="688"/>
      <c r="AGA17" s="688"/>
      <c r="AGB17" s="688"/>
      <c r="AGC17" s="688"/>
      <c r="AGD17" s="688"/>
      <c r="AGE17" s="688"/>
      <c r="AGF17" s="688"/>
      <c r="AGG17" s="688"/>
      <c r="AGH17" s="688"/>
      <c r="AGI17" s="688"/>
      <c r="AGJ17" s="688"/>
      <c r="AGK17" s="688"/>
      <c r="AGL17" s="688"/>
      <c r="AGM17" s="688"/>
      <c r="AGN17" s="688"/>
      <c r="AGO17" s="688"/>
      <c r="AGP17" s="688"/>
      <c r="AGQ17" s="688"/>
      <c r="AGR17" s="688"/>
      <c r="AGS17" s="688"/>
      <c r="AGT17" s="688"/>
      <c r="AGU17" s="688"/>
      <c r="AGV17" s="688"/>
      <c r="AGW17" s="688"/>
      <c r="AGX17" s="688"/>
      <c r="AGY17" s="688"/>
      <c r="AGZ17" s="688"/>
      <c r="AHA17" s="688"/>
      <c r="AHB17" s="688"/>
      <c r="AHC17" s="688"/>
      <c r="AHD17" s="688"/>
      <c r="AHE17" s="688"/>
      <c r="AHF17" s="688"/>
      <c r="AHG17" s="688"/>
      <c r="AHH17" s="688"/>
      <c r="AHI17" s="688"/>
      <c r="AHJ17" s="688"/>
      <c r="AHK17" s="688"/>
      <c r="AHL17" s="688"/>
      <c r="AHM17" s="688"/>
      <c r="AHN17" s="688"/>
      <c r="AHO17" s="688"/>
      <c r="AHP17" s="688"/>
      <c r="AHQ17" s="688"/>
      <c r="AHR17" s="688"/>
      <c r="AHS17" s="688"/>
      <c r="AHT17" s="688"/>
      <c r="AHU17" s="688"/>
      <c r="AHV17" s="688"/>
      <c r="AHW17" s="688"/>
      <c r="AHX17" s="688"/>
      <c r="AHY17" s="688"/>
      <c r="AHZ17" s="688"/>
      <c r="AIA17" s="688"/>
      <c r="AIB17" s="688"/>
      <c r="AIC17" s="688"/>
      <c r="AID17" s="688"/>
      <c r="AIE17" s="688"/>
      <c r="AIF17" s="688"/>
      <c r="AIG17" s="688"/>
      <c r="AIH17" s="688"/>
      <c r="AII17" s="688"/>
      <c r="AIJ17" s="688"/>
      <c r="AIK17" s="688"/>
      <c r="AIL17" s="688"/>
      <c r="AIM17" s="688"/>
      <c r="AIN17" s="688"/>
      <c r="AIO17" s="688"/>
      <c r="AIP17" s="688"/>
      <c r="AIQ17" s="688"/>
      <c r="AIR17" s="688"/>
      <c r="AIS17" s="688"/>
      <c r="AIT17" s="688"/>
      <c r="AIU17" s="688"/>
      <c r="AIV17" s="688"/>
      <c r="AIW17" s="688"/>
      <c r="AIX17" s="688"/>
      <c r="AIY17" s="688"/>
      <c r="AIZ17" s="688"/>
      <c r="AJA17" s="688"/>
      <c r="AJB17" s="688"/>
      <c r="AJC17" s="688"/>
      <c r="AJD17" s="688"/>
      <c r="AJE17" s="688"/>
      <c r="AJF17" s="688"/>
      <c r="AJG17" s="688"/>
      <c r="AJH17" s="688"/>
      <c r="AJI17" s="688"/>
      <c r="AJJ17" s="688"/>
      <c r="AJK17" s="688"/>
      <c r="AJL17" s="688"/>
      <c r="AJM17" s="688"/>
      <c r="AJN17" s="688"/>
      <c r="AJO17" s="688"/>
      <c r="AJP17" s="688"/>
      <c r="AJQ17" s="688"/>
      <c r="AJR17" s="688"/>
      <c r="AJS17" s="688"/>
      <c r="AJT17" s="688"/>
      <c r="AJU17" s="688"/>
      <c r="AJV17" s="688"/>
      <c r="AJW17" s="688"/>
      <c r="AJX17" s="688"/>
      <c r="AJY17" s="688"/>
      <c r="AJZ17" s="688"/>
      <c r="AKA17" s="688"/>
      <c r="AKB17" s="688"/>
      <c r="AKC17" s="688"/>
      <c r="AKD17" s="688"/>
      <c r="AKE17" s="688"/>
      <c r="AKF17" s="688"/>
      <c r="AKG17" s="688"/>
      <c r="AKH17" s="688"/>
      <c r="AKI17" s="688"/>
      <c r="AKJ17" s="688"/>
      <c r="AKK17" s="688"/>
      <c r="AKL17" s="688"/>
      <c r="AKM17" s="688"/>
      <c r="AKN17" s="688"/>
      <c r="AKO17" s="688"/>
      <c r="AKP17" s="688"/>
      <c r="AKQ17" s="688"/>
      <c r="AKR17" s="688"/>
      <c r="AKS17" s="688"/>
      <c r="AKT17" s="688"/>
      <c r="AKU17" s="688"/>
      <c r="AKV17" s="688"/>
      <c r="AKW17" s="688"/>
      <c r="AKX17" s="688"/>
      <c r="AKY17" s="688"/>
      <c r="AKZ17" s="688"/>
      <c r="ALA17" s="688"/>
      <c r="ALB17" s="688"/>
      <c r="ALC17" s="688"/>
      <c r="ALD17" s="688"/>
      <c r="ALE17" s="688"/>
      <c r="ALF17" s="688"/>
      <c r="ALG17" s="688"/>
      <c r="ALH17" s="688"/>
      <c r="ALI17" s="688"/>
      <c r="ALJ17" s="688"/>
      <c r="ALK17" s="688"/>
      <c r="ALL17" s="688"/>
      <c r="ALM17" s="688"/>
      <c r="ALN17" s="688"/>
      <c r="ALO17" s="688"/>
      <c r="ALP17" s="688"/>
      <c r="ALQ17" s="688"/>
      <c r="ALR17" s="688"/>
      <c r="ALS17" s="688"/>
      <c r="ALT17" s="688"/>
      <c r="ALU17" s="688"/>
      <c r="ALV17" s="688"/>
      <c r="ALW17" s="688"/>
      <c r="ALX17" s="688"/>
      <c r="ALY17" s="688"/>
      <c r="ALZ17" s="688"/>
      <c r="AMA17" s="688"/>
      <c r="AMB17" s="688"/>
      <c r="AMC17" s="688"/>
      <c r="AMD17" s="688"/>
      <c r="AME17" s="688"/>
      <c r="AMF17" s="688"/>
      <c r="AMG17" s="688"/>
      <c r="AMH17" s="688"/>
      <c r="AMI17" s="688"/>
      <c r="AMJ17" s="688"/>
    </row>
    <row r="18" spans="1:1024" s="697" customFormat="1" ht="49.5" customHeight="1">
      <c r="A18" s="696"/>
      <c r="B18" s="1650" t="s">
        <v>699</v>
      </c>
      <c r="C18" s="1650"/>
      <c r="D18" s="1650"/>
      <c r="E18" s="1650"/>
      <c r="F18" s="1650"/>
      <c r="P18" s="689"/>
      <c r="Q18" s="690"/>
    </row>
    <row r="19" spans="1:1024" ht="42.75" customHeight="1">
      <c r="A19" s="696"/>
      <c r="B19" s="698"/>
      <c r="C19" s="699" t="s">
        <v>700</v>
      </c>
      <c r="D19" s="1651" t="e">
        <f>#REF!</f>
        <v>#REF!</v>
      </c>
      <c r="E19" s="1651"/>
      <c r="F19" s="1651"/>
      <c r="G19" s="688"/>
      <c r="H19" s="688"/>
      <c r="I19" s="688"/>
      <c r="J19" s="688"/>
      <c r="K19" s="688"/>
      <c r="L19" s="688"/>
      <c r="M19" s="688"/>
      <c r="N19" s="688"/>
      <c r="O19" s="688"/>
      <c r="P19" s="688"/>
      <c r="Q19" s="688"/>
      <c r="R19" s="688"/>
      <c r="S19" s="688"/>
      <c r="T19" s="688"/>
      <c r="U19" s="688"/>
      <c r="V19" s="688"/>
      <c r="W19" s="688"/>
      <c r="X19" s="688"/>
      <c r="Y19" s="688"/>
      <c r="Z19" s="688"/>
      <c r="AA19" s="688"/>
      <c r="AB19" s="688"/>
      <c r="AC19" s="688"/>
      <c r="AD19" s="688"/>
      <c r="AE19" s="688"/>
      <c r="AF19" s="688"/>
      <c r="AG19" s="688"/>
      <c r="AH19" s="688"/>
      <c r="AI19" s="688"/>
      <c r="AJ19" s="688"/>
      <c r="AK19" s="688"/>
      <c r="AL19" s="688"/>
      <c r="AM19" s="688"/>
      <c r="AN19" s="688"/>
      <c r="AO19" s="688"/>
      <c r="AP19" s="688"/>
      <c r="AQ19" s="688"/>
      <c r="AR19" s="688"/>
      <c r="AS19" s="688"/>
      <c r="AT19" s="688"/>
      <c r="AU19" s="688"/>
      <c r="AV19" s="688"/>
      <c r="AW19" s="688"/>
      <c r="AX19" s="688"/>
      <c r="AY19" s="688"/>
      <c r="AZ19" s="688"/>
      <c r="BA19" s="688"/>
      <c r="BB19" s="688"/>
      <c r="BC19" s="688"/>
      <c r="BD19" s="688"/>
      <c r="BE19" s="688"/>
      <c r="BF19" s="688"/>
      <c r="BG19" s="688"/>
      <c r="BH19" s="688"/>
      <c r="BI19" s="688"/>
      <c r="BJ19" s="688"/>
      <c r="BK19" s="688"/>
      <c r="BL19" s="688"/>
      <c r="BM19" s="688"/>
      <c r="BN19" s="688"/>
      <c r="BO19" s="688"/>
      <c r="BP19" s="688"/>
      <c r="BQ19" s="688"/>
      <c r="BR19" s="688"/>
      <c r="BS19" s="688"/>
      <c r="BT19" s="688"/>
      <c r="BU19" s="688"/>
      <c r="BV19" s="688"/>
      <c r="BW19" s="688"/>
      <c r="BX19" s="688"/>
      <c r="BY19" s="688"/>
      <c r="BZ19" s="688"/>
      <c r="CA19" s="688"/>
      <c r="CB19" s="688"/>
      <c r="CC19" s="688"/>
      <c r="CD19" s="688"/>
      <c r="CE19" s="688"/>
      <c r="CF19" s="688"/>
      <c r="CG19" s="688"/>
      <c r="CH19" s="688"/>
      <c r="CI19" s="688"/>
      <c r="CJ19" s="688"/>
      <c r="CK19" s="688"/>
      <c r="CL19" s="688"/>
      <c r="CM19" s="688"/>
      <c r="CN19" s="688"/>
      <c r="CO19" s="688"/>
      <c r="CP19" s="688"/>
      <c r="CQ19" s="688"/>
      <c r="CR19" s="688"/>
      <c r="CS19" s="688"/>
      <c r="CT19" s="688"/>
      <c r="CU19" s="688"/>
      <c r="CV19" s="688"/>
      <c r="CW19" s="688"/>
      <c r="CX19" s="688"/>
      <c r="CY19" s="688"/>
      <c r="CZ19" s="688"/>
      <c r="DA19" s="688"/>
      <c r="DB19" s="688"/>
      <c r="DC19" s="688"/>
      <c r="DD19" s="688"/>
      <c r="DE19" s="688"/>
      <c r="DF19" s="688"/>
      <c r="DG19" s="688"/>
      <c r="DH19" s="688"/>
      <c r="DI19" s="688"/>
      <c r="DJ19" s="688"/>
      <c r="DK19" s="688"/>
      <c r="DL19" s="688"/>
      <c r="DM19" s="688"/>
      <c r="DN19" s="688"/>
      <c r="DO19" s="688"/>
      <c r="DP19" s="688"/>
      <c r="DQ19" s="688"/>
      <c r="DR19" s="688"/>
      <c r="DS19" s="688"/>
      <c r="DT19" s="688"/>
      <c r="DU19" s="688"/>
      <c r="DV19" s="688"/>
      <c r="DW19" s="688"/>
      <c r="DX19" s="688"/>
      <c r="DY19" s="688"/>
      <c r="DZ19" s="688"/>
      <c r="EA19" s="688"/>
      <c r="EB19" s="688"/>
      <c r="EC19" s="688"/>
      <c r="ED19" s="688"/>
      <c r="EE19" s="688"/>
      <c r="EF19" s="688"/>
      <c r="EG19" s="688"/>
      <c r="EH19" s="688"/>
      <c r="EI19" s="688"/>
      <c r="EJ19" s="688"/>
      <c r="EK19" s="688"/>
      <c r="EL19" s="688"/>
      <c r="EM19" s="688"/>
      <c r="EN19" s="688"/>
      <c r="EO19" s="688"/>
      <c r="EP19" s="688"/>
      <c r="EQ19" s="688"/>
      <c r="ER19" s="688"/>
      <c r="ES19" s="688"/>
      <c r="ET19" s="688"/>
      <c r="EU19" s="688"/>
      <c r="EV19" s="688"/>
      <c r="EW19" s="688"/>
      <c r="EX19" s="688"/>
      <c r="EY19" s="688"/>
      <c r="EZ19" s="688"/>
      <c r="FA19" s="688"/>
      <c r="FB19" s="688"/>
      <c r="FC19" s="688"/>
      <c r="FD19" s="688"/>
      <c r="FE19" s="688"/>
      <c r="FF19" s="688"/>
      <c r="FG19" s="688"/>
      <c r="FH19" s="688"/>
      <c r="FI19" s="688"/>
      <c r="FJ19" s="688"/>
      <c r="FK19" s="688"/>
      <c r="FL19" s="688"/>
      <c r="FM19" s="688"/>
      <c r="FN19" s="688"/>
      <c r="FO19" s="688"/>
      <c r="FP19" s="688"/>
      <c r="FQ19" s="688"/>
      <c r="FR19" s="688"/>
      <c r="FS19" s="688"/>
      <c r="FT19" s="688"/>
      <c r="FU19" s="688"/>
      <c r="FV19" s="688"/>
      <c r="FW19" s="688"/>
      <c r="FX19" s="688"/>
      <c r="FY19" s="688"/>
      <c r="FZ19" s="688"/>
      <c r="GA19" s="688"/>
      <c r="GB19" s="688"/>
      <c r="GC19" s="688"/>
      <c r="GD19" s="688"/>
      <c r="GE19" s="688"/>
      <c r="GF19" s="688"/>
      <c r="GG19" s="688"/>
      <c r="GH19" s="688"/>
      <c r="GI19" s="688"/>
      <c r="GJ19" s="688"/>
      <c r="GK19" s="688"/>
      <c r="GL19" s="688"/>
      <c r="GM19" s="688"/>
      <c r="GN19" s="688"/>
      <c r="GO19" s="688"/>
      <c r="GP19" s="688"/>
      <c r="GQ19" s="688"/>
      <c r="GR19" s="688"/>
      <c r="GS19" s="688"/>
      <c r="GT19" s="688"/>
      <c r="GU19" s="688"/>
      <c r="GV19" s="688"/>
      <c r="GW19" s="688"/>
      <c r="GX19" s="688"/>
      <c r="GY19" s="688"/>
      <c r="GZ19" s="688"/>
      <c r="HA19" s="688"/>
      <c r="HB19" s="688"/>
      <c r="HC19" s="688"/>
      <c r="HD19" s="688"/>
      <c r="HE19" s="688"/>
      <c r="HF19" s="688"/>
      <c r="HG19" s="688"/>
      <c r="HH19" s="688"/>
      <c r="HI19" s="688"/>
      <c r="HJ19" s="688"/>
      <c r="HK19" s="688"/>
      <c r="HL19" s="688"/>
      <c r="HM19" s="688"/>
      <c r="HN19" s="688"/>
      <c r="HO19" s="688"/>
      <c r="HP19" s="688"/>
      <c r="HQ19" s="688"/>
      <c r="HR19" s="688"/>
      <c r="HS19" s="688"/>
      <c r="HT19" s="688"/>
      <c r="HU19" s="688"/>
      <c r="HV19" s="688"/>
      <c r="HW19" s="688"/>
      <c r="HX19" s="688"/>
      <c r="HY19" s="688"/>
      <c r="HZ19" s="688"/>
      <c r="IA19" s="688"/>
      <c r="IB19" s="688"/>
      <c r="IC19" s="688"/>
      <c r="ID19" s="688"/>
      <c r="IE19" s="688"/>
      <c r="IF19" s="688"/>
      <c r="IG19" s="688"/>
      <c r="IH19" s="688"/>
      <c r="II19" s="688"/>
      <c r="IJ19" s="688"/>
      <c r="IK19" s="688"/>
      <c r="IL19" s="688"/>
      <c r="IM19" s="688"/>
      <c r="IN19" s="688"/>
      <c r="IO19" s="688"/>
      <c r="IP19" s="688"/>
      <c r="IQ19" s="688"/>
      <c r="IR19" s="688"/>
      <c r="IS19" s="688"/>
      <c r="IT19" s="688"/>
      <c r="IU19" s="688"/>
      <c r="IV19" s="688"/>
      <c r="IW19" s="688"/>
      <c r="IX19" s="688"/>
      <c r="IY19" s="688"/>
      <c r="IZ19" s="688"/>
      <c r="JA19" s="688"/>
      <c r="JB19" s="688"/>
      <c r="JC19" s="688"/>
      <c r="JD19" s="688"/>
      <c r="JE19" s="688"/>
      <c r="JF19" s="688"/>
      <c r="JG19" s="688"/>
      <c r="JH19" s="688"/>
      <c r="JI19" s="688"/>
      <c r="JJ19" s="688"/>
      <c r="JK19" s="688"/>
      <c r="JL19" s="688"/>
      <c r="JM19" s="688"/>
      <c r="JN19" s="688"/>
      <c r="JO19" s="688"/>
      <c r="JP19" s="688"/>
      <c r="JQ19" s="688"/>
      <c r="JR19" s="688"/>
      <c r="JS19" s="688"/>
      <c r="JT19" s="688"/>
      <c r="JU19" s="688"/>
      <c r="JV19" s="688"/>
      <c r="JW19" s="688"/>
      <c r="JX19" s="688"/>
      <c r="JY19" s="688"/>
      <c r="JZ19" s="688"/>
      <c r="KA19" s="688"/>
      <c r="KB19" s="688"/>
      <c r="KC19" s="688"/>
      <c r="KD19" s="688"/>
      <c r="KE19" s="688"/>
      <c r="KF19" s="688"/>
      <c r="KG19" s="688"/>
      <c r="KH19" s="688"/>
      <c r="KI19" s="688"/>
      <c r="KJ19" s="688"/>
      <c r="KK19" s="688"/>
      <c r="KL19" s="688"/>
      <c r="KM19" s="688"/>
      <c r="KN19" s="688"/>
      <c r="KO19" s="688"/>
      <c r="KP19" s="688"/>
      <c r="KQ19" s="688"/>
      <c r="KR19" s="688"/>
      <c r="KS19" s="688"/>
      <c r="KT19" s="688"/>
      <c r="KU19" s="688"/>
      <c r="KV19" s="688"/>
      <c r="KW19" s="688"/>
      <c r="KX19" s="688"/>
      <c r="KY19" s="688"/>
      <c r="KZ19" s="688"/>
      <c r="LA19" s="688"/>
      <c r="LB19" s="688"/>
      <c r="LC19" s="688"/>
      <c r="LD19" s="688"/>
      <c r="LE19" s="688"/>
      <c r="LF19" s="688"/>
      <c r="LG19" s="688"/>
      <c r="LH19" s="688"/>
      <c r="LI19" s="688"/>
      <c r="LJ19" s="688"/>
      <c r="LK19" s="688"/>
      <c r="LL19" s="688"/>
      <c r="LM19" s="688"/>
      <c r="LN19" s="688"/>
      <c r="LO19" s="688"/>
      <c r="LP19" s="688"/>
      <c r="LQ19" s="688"/>
      <c r="LR19" s="688"/>
      <c r="LS19" s="688"/>
      <c r="LT19" s="688"/>
      <c r="LU19" s="688"/>
      <c r="LV19" s="688"/>
      <c r="LW19" s="688"/>
      <c r="LX19" s="688"/>
      <c r="LY19" s="688"/>
      <c r="LZ19" s="688"/>
      <c r="MA19" s="688"/>
      <c r="MB19" s="688"/>
      <c r="MC19" s="688"/>
      <c r="MD19" s="688"/>
      <c r="ME19" s="688"/>
      <c r="MF19" s="688"/>
      <c r="MG19" s="688"/>
      <c r="MH19" s="688"/>
      <c r="MI19" s="688"/>
      <c r="MJ19" s="688"/>
      <c r="MK19" s="688"/>
      <c r="ML19" s="688"/>
      <c r="MM19" s="688"/>
      <c r="MN19" s="688"/>
      <c r="MO19" s="688"/>
      <c r="MP19" s="688"/>
      <c r="MQ19" s="688"/>
      <c r="MR19" s="688"/>
      <c r="MS19" s="688"/>
      <c r="MT19" s="688"/>
      <c r="MU19" s="688"/>
      <c r="MV19" s="688"/>
      <c r="MW19" s="688"/>
      <c r="MX19" s="688"/>
      <c r="MY19" s="688"/>
      <c r="MZ19" s="688"/>
      <c r="NA19" s="688"/>
      <c r="NB19" s="688"/>
      <c r="NC19" s="688"/>
      <c r="ND19" s="688"/>
      <c r="NE19" s="688"/>
      <c r="NF19" s="688"/>
      <c r="NG19" s="688"/>
      <c r="NH19" s="688"/>
      <c r="NI19" s="688"/>
      <c r="NJ19" s="688"/>
      <c r="NK19" s="688"/>
      <c r="NL19" s="688"/>
      <c r="NM19" s="688"/>
      <c r="NN19" s="688"/>
      <c r="NO19" s="688"/>
      <c r="NP19" s="688"/>
      <c r="NQ19" s="688"/>
      <c r="NR19" s="688"/>
      <c r="NS19" s="688"/>
      <c r="NT19" s="688"/>
      <c r="NU19" s="688"/>
      <c r="NV19" s="688"/>
      <c r="NW19" s="688"/>
      <c r="NX19" s="688"/>
      <c r="NY19" s="688"/>
      <c r="NZ19" s="688"/>
      <c r="OA19" s="688"/>
      <c r="OB19" s="688"/>
      <c r="OC19" s="688"/>
      <c r="OD19" s="688"/>
      <c r="OE19" s="688"/>
      <c r="OF19" s="688"/>
      <c r="OG19" s="688"/>
      <c r="OH19" s="688"/>
      <c r="OI19" s="688"/>
      <c r="OJ19" s="688"/>
      <c r="OK19" s="688"/>
      <c r="OL19" s="688"/>
      <c r="OM19" s="688"/>
      <c r="ON19" s="688"/>
      <c r="OO19" s="688"/>
      <c r="OP19" s="688"/>
      <c r="OQ19" s="688"/>
      <c r="OR19" s="688"/>
      <c r="OS19" s="688"/>
      <c r="OT19" s="688"/>
      <c r="OU19" s="688"/>
      <c r="OV19" s="688"/>
      <c r="OW19" s="688"/>
      <c r="OX19" s="688"/>
      <c r="OY19" s="688"/>
      <c r="OZ19" s="688"/>
      <c r="PA19" s="688"/>
      <c r="PB19" s="688"/>
      <c r="PC19" s="688"/>
      <c r="PD19" s="688"/>
      <c r="PE19" s="688"/>
      <c r="PF19" s="688"/>
      <c r="PG19" s="688"/>
      <c r="PH19" s="688"/>
      <c r="PI19" s="688"/>
      <c r="PJ19" s="688"/>
      <c r="PK19" s="688"/>
      <c r="PL19" s="688"/>
      <c r="PM19" s="688"/>
      <c r="PN19" s="688"/>
      <c r="PO19" s="688"/>
      <c r="PP19" s="688"/>
      <c r="PQ19" s="688"/>
      <c r="PR19" s="688"/>
      <c r="PS19" s="688"/>
      <c r="PT19" s="688"/>
      <c r="PU19" s="688"/>
      <c r="PV19" s="688"/>
      <c r="PW19" s="688"/>
      <c r="PX19" s="688"/>
      <c r="PY19" s="688"/>
      <c r="PZ19" s="688"/>
      <c r="QA19" s="688"/>
      <c r="QB19" s="688"/>
      <c r="QC19" s="688"/>
      <c r="QD19" s="688"/>
      <c r="QE19" s="688"/>
      <c r="QF19" s="688"/>
      <c r="QG19" s="688"/>
      <c r="QH19" s="688"/>
      <c r="QI19" s="688"/>
      <c r="QJ19" s="688"/>
      <c r="QK19" s="688"/>
      <c r="QL19" s="688"/>
      <c r="QM19" s="688"/>
      <c r="QN19" s="688"/>
      <c r="QO19" s="688"/>
      <c r="QP19" s="688"/>
      <c r="QQ19" s="688"/>
      <c r="QR19" s="688"/>
      <c r="QS19" s="688"/>
      <c r="QT19" s="688"/>
      <c r="QU19" s="688"/>
      <c r="QV19" s="688"/>
      <c r="QW19" s="688"/>
      <c r="QX19" s="688"/>
      <c r="QY19" s="688"/>
      <c r="QZ19" s="688"/>
      <c r="RA19" s="688"/>
      <c r="RB19" s="688"/>
      <c r="RC19" s="688"/>
      <c r="RD19" s="688"/>
      <c r="RE19" s="688"/>
      <c r="RF19" s="688"/>
      <c r="RG19" s="688"/>
      <c r="RH19" s="688"/>
      <c r="RI19" s="688"/>
      <c r="RJ19" s="688"/>
      <c r="RK19" s="688"/>
      <c r="RL19" s="688"/>
      <c r="RM19" s="688"/>
      <c r="RN19" s="688"/>
      <c r="RO19" s="688"/>
      <c r="RP19" s="688"/>
      <c r="RQ19" s="688"/>
      <c r="RR19" s="688"/>
      <c r="RS19" s="688"/>
      <c r="RT19" s="688"/>
      <c r="RU19" s="688"/>
      <c r="RV19" s="688"/>
      <c r="RW19" s="688"/>
      <c r="RX19" s="688"/>
      <c r="RY19" s="688"/>
      <c r="RZ19" s="688"/>
      <c r="SA19" s="688"/>
      <c r="SB19" s="688"/>
      <c r="SC19" s="688"/>
      <c r="SD19" s="688"/>
      <c r="SE19" s="688"/>
      <c r="SF19" s="688"/>
      <c r="SG19" s="688"/>
      <c r="SH19" s="688"/>
      <c r="SI19" s="688"/>
      <c r="SJ19" s="688"/>
      <c r="SK19" s="688"/>
      <c r="SL19" s="688"/>
      <c r="SM19" s="688"/>
      <c r="SN19" s="688"/>
      <c r="SO19" s="688"/>
      <c r="SP19" s="688"/>
      <c r="SQ19" s="688"/>
      <c r="SR19" s="688"/>
      <c r="SS19" s="688"/>
      <c r="ST19" s="688"/>
      <c r="SU19" s="688"/>
      <c r="SV19" s="688"/>
      <c r="SW19" s="688"/>
      <c r="SX19" s="688"/>
      <c r="SY19" s="688"/>
      <c r="SZ19" s="688"/>
      <c r="TA19" s="688"/>
      <c r="TB19" s="688"/>
      <c r="TC19" s="688"/>
      <c r="TD19" s="688"/>
      <c r="TE19" s="688"/>
      <c r="TF19" s="688"/>
      <c r="TG19" s="688"/>
      <c r="TH19" s="688"/>
      <c r="TI19" s="688"/>
      <c r="TJ19" s="688"/>
      <c r="TK19" s="688"/>
      <c r="TL19" s="688"/>
      <c r="TM19" s="688"/>
      <c r="TN19" s="688"/>
      <c r="TO19" s="688"/>
      <c r="TP19" s="688"/>
      <c r="TQ19" s="688"/>
      <c r="TR19" s="688"/>
      <c r="TS19" s="688"/>
      <c r="TT19" s="688"/>
      <c r="TU19" s="688"/>
      <c r="TV19" s="688"/>
      <c r="TW19" s="688"/>
      <c r="TX19" s="688"/>
      <c r="TY19" s="688"/>
      <c r="TZ19" s="688"/>
      <c r="UA19" s="688"/>
      <c r="UB19" s="688"/>
      <c r="UC19" s="688"/>
      <c r="UD19" s="688"/>
      <c r="UE19" s="688"/>
      <c r="UF19" s="688"/>
      <c r="UG19" s="688"/>
      <c r="UH19" s="688"/>
      <c r="UI19" s="688"/>
      <c r="UJ19" s="688"/>
      <c r="UK19" s="688"/>
      <c r="UL19" s="688"/>
      <c r="UM19" s="688"/>
      <c r="UN19" s="688"/>
      <c r="UO19" s="688"/>
      <c r="UP19" s="688"/>
      <c r="UQ19" s="688"/>
      <c r="UR19" s="688"/>
      <c r="US19" s="688"/>
      <c r="UT19" s="688"/>
      <c r="UU19" s="688"/>
      <c r="UV19" s="688"/>
      <c r="UW19" s="688"/>
      <c r="UX19" s="688"/>
      <c r="UY19" s="688"/>
      <c r="UZ19" s="688"/>
      <c r="VA19" s="688"/>
      <c r="VB19" s="688"/>
      <c r="VC19" s="688"/>
      <c r="VD19" s="688"/>
      <c r="VE19" s="688"/>
      <c r="VF19" s="688"/>
      <c r="VG19" s="688"/>
      <c r="VH19" s="688"/>
      <c r="VI19" s="688"/>
      <c r="VJ19" s="688"/>
      <c r="VK19" s="688"/>
      <c r="VL19" s="688"/>
      <c r="VM19" s="688"/>
      <c r="VN19" s="688"/>
      <c r="VO19" s="688"/>
      <c r="VP19" s="688"/>
      <c r="VQ19" s="688"/>
      <c r="VR19" s="688"/>
      <c r="VS19" s="688"/>
      <c r="VT19" s="688"/>
      <c r="VU19" s="688"/>
      <c r="VV19" s="688"/>
      <c r="VW19" s="688"/>
      <c r="VX19" s="688"/>
      <c r="VY19" s="688"/>
      <c r="VZ19" s="688"/>
      <c r="WA19" s="688"/>
      <c r="WB19" s="688"/>
      <c r="WC19" s="688"/>
      <c r="WD19" s="688"/>
      <c r="WE19" s="688"/>
      <c r="WF19" s="688"/>
      <c r="WG19" s="688"/>
      <c r="WH19" s="688"/>
      <c r="WI19" s="688"/>
      <c r="WJ19" s="688"/>
      <c r="WK19" s="688"/>
      <c r="WL19" s="688"/>
      <c r="WM19" s="688"/>
      <c r="WN19" s="688"/>
      <c r="WO19" s="688"/>
      <c r="WP19" s="688"/>
      <c r="WQ19" s="688"/>
      <c r="WR19" s="688"/>
      <c r="WS19" s="688"/>
      <c r="WT19" s="688"/>
      <c r="WU19" s="688"/>
      <c r="WV19" s="688"/>
      <c r="WW19" s="688"/>
      <c r="WX19" s="688"/>
      <c r="WY19" s="688"/>
      <c r="WZ19" s="688"/>
      <c r="XA19" s="688"/>
      <c r="XB19" s="688"/>
      <c r="XC19" s="688"/>
      <c r="XD19" s="688"/>
      <c r="XE19" s="688"/>
      <c r="XF19" s="688"/>
      <c r="XG19" s="688"/>
      <c r="XH19" s="688"/>
      <c r="XI19" s="688"/>
      <c r="XJ19" s="688"/>
      <c r="XK19" s="688"/>
      <c r="XL19" s="688"/>
      <c r="XM19" s="688"/>
      <c r="XN19" s="688"/>
      <c r="XO19" s="688"/>
      <c r="XP19" s="688"/>
      <c r="XQ19" s="688"/>
      <c r="XR19" s="688"/>
      <c r="XS19" s="688"/>
      <c r="XT19" s="688"/>
      <c r="XU19" s="688"/>
      <c r="XV19" s="688"/>
      <c r="XW19" s="688"/>
      <c r="XX19" s="688"/>
      <c r="XY19" s="688"/>
      <c r="XZ19" s="688"/>
      <c r="YA19" s="688"/>
      <c r="YB19" s="688"/>
      <c r="YC19" s="688"/>
      <c r="YD19" s="688"/>
      <c r="YE19" s="688"/>
      <c r="YF19" s="688"/>
      <c r="YG19" s="688"/>
      <c r="YH19" s="688"/>
      <c r="YI19" s="688"/>
      <c r="YJ19" s="688"/>
      <c r="YK19" s="688"/>
      <c r="YL19" s="688"/>
      <c r="YM19" s="688"/>
      <c r="YN19" s="688"/>
      <c r="YO19" s="688"/>
      <c r="YP19" s="688"/>
      <c r="YQ19" s="688"/>
      <c r="YR19" s="688"/>
      <c r="YS19" s="688"/>
      <c r="YT19" s="688"/>
      <c r="YU19" s="688"/>
      <c r="YV19" s="688"/>
      <c r="YW19" s="688"/>
      <c r="YX19" s="688"/>
      <c r="YY19" s="688"/>
      <c r="YZ19" s="688"/>
      <c r="ZA19" s="688"/>
      <c r="ZB19" s="688"/>
      <c r="ZC19" s="688"/>
      <c r="ZD19" s="688"/>
      <c r="ZE19" s="688"/>
      <c r="ZF19" s="688"/>
      <c r="ZG19" s="688"/>
      <c r="ZH19" s="688"/>
      <c r="ZI19" s="688"/>
      <c r="ZJ19" s="688"/>
      <c r="ZK19" s="688"/>
      <c r="ZL19" s="688"/>
      <c r="ZM19" s="688"/>
      <c r="ZN19" s="688"/>
      <c r="ZO19" s="688"/>
      <c r="ZP19" s="688"/>
      <c r="ZQ19" s="688"/>
      <c r="ZR19" s="688"/>
      <c r="ZS19" s="688"/>
      <c r="ZT19" s="688"/>
      <c r="ZU19" s="688"/>
      <c r="ZV19" s="688"/>
      <c r="ZW19" s="688"/>
      <c r="ZX19" s="688"/>
      <c r="ZY19" s="688"/>
      <c r="ZZ19" s="688"/>
      <c r="AAA19" s="688"/>
      <c r="AAB19" s="688"/>
      <c r="AAC19" s="688"/>
      <c r="AAD19" s="688"/>
      <c r="AAE19" s="688"/>
      <c r="AAF19" s="688"/>
      <c r="AAG19" s="688"/>
      <c r="AAH19" s="688"/>
      <c r="AAI19" s="688"/>
      <c r="AAJ19" s="688"/>
      <c r="AAK19" s="688"/>
      <c r="AAL19" s="688"/>
      <c r="AAM19" s="688"/>
      <c r="AAN19" s="688"/>
      <c r="AAO19" s="688"/>
      <c r="AAP19" s="688"/>
      <c r="AAQ19" s="688"/>
      <c r="AAR19" s="688"/>
      <c r="AAS19" s="688"/>
      <c r="AAT19" s="688"/>
      <c r="AAU19" s="688"/>
      <c r="AAV19" s="688"/>
      <c r="AAW19" s="688"/>
      <c r="AAX19" s="688"/>
      <c r="AAY19" s="688"/>
      <c r="AAZ19" s="688"/>
      <c r="ABA19" s="688"/>
      <c r="ABB19" s="688"/>
      <c r="ABC19" s="688"/>
      <c r="ABD19" s="688"/>
      <c r="ABE19" s="688"/>
      <c r="ABF19" s="688"/>
      <c r="ABG19" s="688"/>
      <c r="ABH19" s="688"/>
      <c r="ABI19" s="688"/>
      <c r="ABJ19" s="688"/>
      <c r="ABK19" s="688"/>
      <c r="ABL19" s="688"/>
      <c r="ABM19" s="688"/>
      <c r="ABN19" s="688"/>
      <c r="ABO19" s="688"/>
      <c r="ABP19" s="688"/>
      <c r="ABQ19" s="688"/>
      <c r="ABR19" s="688"/>
      <c r="ABS19" s="688"/>
      <c r="ABT19" s="688"/>
      <c r="ABU19" s="688"/>
      <c r="ABV19" s="688"/>
      <c r="ABW19" s="688"/>
      <c r="ABX19" s="688"/>
      <c r="ABY19" s="688"/>
      <c r="ABZ19" s="688"/>
      <c r="ACA19" s="688"/>
      <c r="ACB19" s="688"/>
      <c r="ACC19" s="688"/>
      <c r="ACD19" s="688"/>
      <c r="ACE19" s="688"/>
      <c r="ACF19" s="688"/>
      <c r="ACG19" s="688"/>
      <c r="ACH19" s="688"/>
      <c r="ACI19" s="688"/>
      <c r="ACJ19" s="688"/>
      <c r="ACK19" s="688"/>
      <c r="ACL19" s="688"/>
      <c r="ACM19" s="688"/>
      <c r="ACN19" s="688"/>
      <c r="ACO19" s="688"/>
      <c r="ACP19" s="688"/>
      <c r="ACQ19" s="688"/>
      <c r="ACR19" s="688"/>
      <c r="ACS19" s="688"/>
      <c r="ACT19" s="688"/>
      <c r="ACU19" s="688"/>
      <c r="ACV19" s="688"/>
      <c r="ACW19" s="688"/>
      <c r="ACX19" s="688"/>
      <c r="ACY19" s="688"/>
      <c r="ACZ19" s="688"/>
      <c r="ADA19" s="688"/>
      <c r="ADB19" s="688"/>
      <c r="ADC19" s="688"/>
      <c r="ADD19" s="688"/>
      <c r="ADE19" s="688"/>
      <c r="ADF19" s="688"/>
      <c r="ADG19" s="688"/>
      <c r="ADH19" s="688"/>
      <c r="ADI19" s="688"/>
      <c r="ADJ19" s="688"/>
      <c r="ADK19" s="688"/>
      <c r="ADL19" s="688"/>
      <c r="ADM19" s="688"/>
      <c r="ADN19" s="688"/>
      <c r="ADO19" s="688"/>
      <c r="ADP19" s="688"/>
      <c r="ADQ19" s="688"/>
      <c r="ADR19" s="688"/>
      <c r="ADS19" s="688"/>
      <c r="ADT19" s="688"/>
      <c r="ADU19" s="688"/>
      <c r="ADV19" s="688"/>
      <c r="ADW19" s="688"/>
      <c r="ADX19" s="688"/>
      <c r="ADY19" s="688"/>
      <c r="ADZ19" s="688"/>
      <c r="AEA19" s="688"/>
      <c r="AEB19" s="688"/>
      <c r="AEC19" s="688"/>
      <c r="AED19" s="688"/>
      <c r="AEE19" s="688"/>
      <c r="AEF19" s="688"/>
      <c r="AEG19" s="688"/>
      <c r="AEH19" s="688"/>
      <c r="AEI19" s="688"/>
      <c r="AEJ19" s="688"/>
      <c r="AEK19" s="688"/>
      <c r="AEL19" s="688"/>
      <c r="AEM19" s="688"/>
      <c r="AEN19" s="688"/>
      <c r="AEO19" s="688"/>
      <c r="AEP19" s="688"/>
      <c r="AEQ19" s="688"/>
      <c r="AER19" s="688"/>
      <c r="AES19" s="688"/>
      <c r="AET19" s="688"/>
      <c r="AEU19" s="688"/>
      <c r="AEV19" s="688"/>
      <c r="AEW19" s="688"/>
      <c r="AEX19" s="688"/>
      <c r="AEY19" s="688"/>
      <c r="AEZ19" s="688"/>
      <c r="AFA19" s="688"/>
      <c r="AFB19" s="688"/>
      <c r="AFC19" s="688"/>
      <c r="AFD19" s="688"/>
      <c r="AFE19" s="688"/>
      <c r="AFF19" s="688"/>
      <c r="AFG19" s="688"/>
      <c r="AFH19" s="688"/>
      <c r="AFI19" s="688"/>
      <c r="AFJ19" s="688"/>
      <c r="AFK19" s="688"/>
      <c r="AFL19" s="688"/>
      <c r="AFM19" s="688"/>
      <c r="AFN19" s="688"/>
      <c r="AFO19" s="688"/>
      <c r="AFP19" s="688"/>
      <c r="AFQ19" s="688"/>
      <c r="AFR19" s="688"/>
      <c r="AFS19" s="688"/>
      <c r="AFT19" s="688"/>
      <c r="AFU19" s="688"/>
      <c r="AFV19" s="688"/>
      <c r="AFW19" s="688"/>
      <c r="AFX19" s="688"/>
      <c r="AFY19" s="688"/>
      <c r="AFZ19" s="688"/>
      <c r="AGA19" s="688"/>
      <c r="AGB19" s="688"/>
      <c r="AGC19" s="688"/>
      <c r="AGD19" s="688"/>
      <c r="AGE19" s="688"/>
      <c r="AGF19" s="688"/>
      <c r="AGG19" s="688"/>
      <c r="AGH19" s="688"/>
      <c r="AGI19" s="688"/>
      <c r="AGJ19" s="688"/>
      <c r="AGK19" s="688"/>
      <c r="AGL19" s="688"/>
      <c r="AGM19" s="688"/>
      <c r="AGN19" s="688"/>
      <c r="AGO19" s="688"/>
      <c r="AGP19" s="688"/>
      <c r="AGQ19" s="688"/>
      <c r="AGR19" s="688"/>
      <c r="AGS19" s="688"/>
      <c r="AGT19" s="688"/>
      <c r="AGU19" s="688"/>
      <c r="AGV19" s="688"/>
      <c r="AGW19" s="688"/>
      <c r="AGX19" s="688"/>
      <c r="AGY19" s="688"/>
      <c r="AGZ19" s="688"/>
      <c r="AHA19" s="688"/>
      <c r="AHB19" s="688"/>
      <c r="AHC19" s="688"/>
      <c r="AHD19" s="688"/>
      <c r="AHE19" s="688"/>
      <c r="AHF19" s="688"/>
      <c r="AHG19" s="688"/>
      <c r="AHH19" s="688"/>
      <c r="AHI19" s="688"/>
      <c r="AHJ19" s="688"/>
      <c r="AHK19" s="688"/>
      <c r="AHL19" s="688"/>
      <c r="AHM19" s="688"/>
      <c r="AHN19" s="688"/>
      <c r="AHO19" s="688"/>
      <c r="AHP19" s="688"/>
      <c r="AHQ19" s="688"/>
      <c r="AHR19" s="688"/>
      <c r="AHS19" s="688"/>
      <c r="AHT19" s="688"/>
      <c r="AHU19" s="688"/>
      <c r="AHV19" s="688"/>
      <c r="AHW19" s="688"/>
      <c r="AHX19" s="688"/>
      <c r="AHY19" s="688"/>
      <c r="AHZ19" s="688"/>
      <c r="AIA19" s="688"/>
      <c r="AIB19" s="688"/>
      <c r="AIC19" s="688"/>
      <c r="AID19" s="688"/>
      <c r="AIE19" s="688"/>
      <c r="AIF19" s="688"/>
      <c r="AIG19" s="688"/>
      <c r="AIH19" s="688"/>
      <c r="AII19" s="688"/>
      <c r="AIJ19" s="688"/>
      <c r="AIK19" s="688"/>
      <c r="AIL19" s="688"/>
      <c r="AIM19" s="688"/>
      <c r="AIN19" s="688"/>
      <c r="AIO19" s="688"/>
      <c r="AIP19" s="688"/>
      <c r="AIQ19" s="688"/>
      <c r="AIR19" s="688"/>
      <c r="AIS19" s="688"/>
      <c r="AIT19" s="688"/>
      <c r="AIU19" s="688"/>
      <c r="AIV19" s="688"/>
      <c r="AIW19" s="688"/>
      <c r="AIX19" s="688"/>
      <c r="AIY19" s="688"/>
      <c r="AIZ19" s="688"/>
      <c r="AJA19" s="688"/>
      <c r="AJB19" s="688"/>
      <c r="AJC19" s="688"/>
      <c r="AJD19" s="688"/>
      <c r="AJE19" s="688"/>
      <c r="AJF19" s="688"/>
      <c r="AJG19" s="688"/>
      <c r="AJH19" s="688"/>
      <c r="AJI19" s="688"/>
      <c r="AJJ19" s="688"/>
      <c r="AJK19" s="688"/>
      <c r="AJL19" s="688"/>
      <c r="AJM19" s="688"/>
      <c r="AJN19" s="688"/>
      <c r="AJO19" s="688"/>
      <c r="AJP19" s="688"/>
      <c r="AJQ19" s="688"/>
      <c r="AJR19" s="688"/>
      <c r="AJS19" s="688"/>
      <c r="AJT19" s="688"/>
      <c r="AJU19" s="688"/>
      <c r="AJV19" s="688"/>
      <c r="AJW19" s="688"/>
      <c r="AJX19" s="688"/>
      <c r="AJY19" s="688"/>
      <c r="AJZ19" s="688"/>
      <c r="AKA19" s="688"/>
      <c r="AKB19" s="688"/>
      <c r="AKC19" s="688"/>
      <c r="AKD19" s="688"/>
      <c r="AKE19" s="688"/>
      <c r="AKF19" s="688"/>
      <c r="AKG19" s="688"/>
      <c r="AKH19" s="688"/>
      <c r="AKI19" s="688"/>
      <c r="AKJ19" s="688"/>
      <c r="AKK19" s="688"/>
      <c r="AKL19" s="688"/>
      <c r="AKM19" s="688"/>
      <c r="AKN19" s="688"/>
      <c r="AKO19" s="688"/>
      <c r="AKP19" s="688"/>
      <c r="AKQ19" s="688"/>
      <c r="AKR19" s="688"/>
      <c r="AKS19" s="688"/>
      <c r="AKT19" s="688"/>
      <c r="AKU19" s="688"/>
      <c r="AKV19" s="688"/>
      <c r="AKW19" s="688"/>
      <c r="AKX19" s="688"/>
      <c r="AKY19" s="688"/>
      <c r="AKZ19" s="688"/>
      <c r="ALA19" s="688"/>
      <c r="ALB19" s="688"/>
      <c r="ALC19" s="688"/>
      <c r="ALD19" s="688"/>
      <c r="ALE19" s="688"/>
      <c r="ALF19" s="688"/>
      <c r="ALG19" s="688"/>
      <c r="ALH19" s="688"/>
      <c r="ALI19" s="688"/>
      <c r="ALJ19" s="688"/>
      <c r="ALK19" s="688"/>
      <c r="ALL19" s="688"/>
      <c r="ALM19" s="688"/>
      <c r="ALN19" s="688"/>
      <c r="ALO19" s="688"/>
      <c r="ALP19" s="688"/>
      <c r="ALQ19" s="688"/>
      <c r="ALR19" s="688"/>
      <c r="ALS19" s="688"/>
      <c r="ALT19" s="688"/>
      <c r="ALU19" s="688"/>
      <c r="ALV19" s="688"/>
      <c r="ALW19" s="688"/>
      <c r="ALX19" s="688"/>
      <c r="ALY19" s="688"/>
      <c r="ALZ19" s="688"/>
      <c r="AMA19" s="688"/>
      <c r="AMB19" s="688"/>
      <c r="AMC19" s="688"/>
      <c r="AMD19" s="688"/>
      <c r="AME19" s="688"/>
      <c r="AMF19" s="688"/>
      <c r="AMG19" s="688"/>
      <c r="AMH19" s="688"/>
      <c r="AMI19" s="688"/>
      <c r="AMJ19" s="688"/>
    </row>
    <row r="20" spans="1:1024" s="695" customFormat="1" ht="53.25" customHeight="1">
      <c r="A20" s="692"/>
      <c r="B20" s="700"/>
      <c r="C20" s="700"/>
      <c r="D20" s="699" t="s">
        <v>701</v>
      </c>
      <c r="E20" s="1652" t="e">
        <f>#REF!</f>
        <v>#REF!</v>
      </c>
      <c r="F20" s="1652"/>
    </row>
    <row r="21" spans="1:1024" s="702" customFormat="1" ht="18.75" customHeight="1">
      <c r="A21" s="701"/>
      <c r="B21" s="701"/>
      <c r="C21" s="701"/>
      <c r="D21" s="701"/>
      <c r="E21" s="701"/>
      <c r="F21" s="701"/>
    </row>
    <row r="22" spans="1:1024" ht="18.75" customHeight="1">
      <c r="B22" s="703" t="s">
        <v>702</v>
      </c>
      <c r="C22" s="704"/>
      <c r="D22" s="704"/>
      <c r="E22" s="704"/>
      <c r="F22" s="705" t="s">
        <v>703</v>
      </c>
    </row>
    <row r="23" spans="1:1024" ht="101.25" customHeight="1"/>
    <row r="27" spans="1:1024" s="687" customFormat="1" ht="342" customHeight="1">
      <c r="A27" s="686"/>
      <c r="B27" s="686"/>
      <c r="C27" s="686"/>
      <c r="D27" s="686"/>
      <c r="E27" s="686"/>
      <c r="F27" s="686"/>
    </row>
    <row r="28" spans="1:1024" ht="42.75" customHeight="1">
      <c r="A28" s="686"/>
      <c r="B28" s="1648" t="e">
        <f>#REF!</f>
        <v>#REF!</v>
      </c>
      <c r="C28" s="1648"/>
      <c r="D28" s="1648"/>
      <c r="E28" s="1648"/>
      <c r="F28" s="1648"/>
      <c r="G28" s="688"/>
      <c r="H28" s="688"/>
      <c r="I28" s="688"/>
      <c r="J28" s="688"/>
      <c r="K28" s="688"/>
      <c r="L28" s="688"/>
      <c r="M28" s="688"/>
      <c r="N28" s="688"/>
      <c r="O28" s="688"/>
      <c r="P28" s="689"/>
      <c r="Q28" s="690"/>
      <c r="R28" s="688"/>
      <c r="S28" s="688"/>
      <c r="T28" s="688"/>
      <c r="U28" s="688"/>
      <c r="V28" s="688"/>
      <c r="W28" s="688"/>
      <c r="X28" s="688"/>
      <c r="Y28" s="688"/>
      <c r="Z28" s="688"/>
      <c r="AA28" s="688"/>
      <c r="AB28" s="688"/>
      <c r="AC28" s="688"/>
      <c r="AD28" s="688"/>
      <c r="AE28" s="688"/>
      <c r="AF28" s="688"/>
      <c r="AG28" s="688"/>
      <c r="AH28" s="688"/>
      <c r="AI28" s="688"/>
      <c r="AJ28" s="688"/>
      <c r="AK28" s="688"/>
      <c r="AL28" s="688"/>
      <c r="AM28" s="688"/>
      <c r="AN28" s="688"/>
      <c r="AO28" s="688"/>
      <c r="AP28" s="688"/>
      <c r="AQ28" s="688"/>
      <c r="AR28" s="688"/>
      <c r="AS28" s="688"/>
      <c r="AT28" s="688"/>
      <c r="AU28" s="688"/>
      <c r="AV28" s="688"/>
      <c r="AW28" s="688"/>
      <c r="AX28" s="688"/>
      <c r="AY28" s="688"/>
      <c r="AZ28" s="688"/>
      <c r="BA28" s="688"/>
      <c r="BB28" s="688"/>
      <c r="BC28" s="688"/>
      <c r="BD28" s="688"/>
      <c r="BE28" s="688"/>
      <c r="BF28" s="688"/>
      <c r="BG28" s="688"/>
      <c r="BH28" s="688"/>
      <c r="BI28" s="688"/>
      <c r="BJ28" s="688"/>
      <c r="BK28" s="688"/>
      <c r="BL28" s="688"/>
      <c r="BM28" s="688"/>
      <c r="BN28" s="688"/>
      <c r="BO28" s="688"/>
      <c r="BP28" s="688"/>
      <c r="BQ28" s="688"/>
      <c r="BR28" s="688"/>
      <c r="BS28" s="688"/>
      <c r="BT28" s="688"/>
      <c r="BU28" s="688"/>
      <c r="BV28" s="688"/>
      <c r="BW28" s="688"/>
      <c r="BX28" s="688"/>
      <c r="BY28" s="688"/>
      <c r="BZ28" s="688"/>
      <c r="CA28" s="688"/>
      <c r="CB28" s="688"/>
      <c r="CC28" s="688"/>
      <c r="CD28" s="688"/>
      <c r="CE28" s="688"/>
      <c r="CF28" s="688"/>
      <c r="CG28" s="688"/>
      <c r="CH28" s="688"/>
      <c r="CI28" s="688"/>
      <c r="CJ28" s="688"/>
      <c r="CK28" s="688"/>
      <c r="CL28" s="688"/>
      <c r="CM28" s="688"/>
      <c r="CN28" s="688"/>
      <c r="CO28" s="688"/>
      <c r="CP28" s="688"/>
      <c r="CQ28" s="688"/>
      <c r="CR28" s="688"/>
      <c r="CS28" s="688"/>
      <c r="CT28" s="688"/>
      <c r="CU28" s="688"/>
      <c r="CV28" s="688"/>
      <c r="CW28" s="688"/>
      <c r="CX28" s="688"/>
      <c r="CY28" s="688"/>
      <c r="CZ28" s="688"/>
      <c r="DA28" s="688"/>
      <c r="DB28" s="688"/>
      <c r="DC28" s="688"/>
      <c r="DD28" s="688"/>
      <c r="DE28" s="688"/>
      <c r="DF28" s="688"/>
      <c r="DG28" s="688"/>
      <c r="DH28" s="688"/>
      <c r="DI28" s="688"/>
      <c r="DJ28" s="688"/>
      <c r="DK28" s="688"/>
      <c r="DL28" s="688"/>
      <c r="DM28" s="688"/>
      <c r="DN28" s="688"/>
      <c r="DO28" s="688"/>
      <c r="DP28" s="688"/>
      <c r="DQ28" s="688"/>
      <c r="DR28" s="688"/>
      <c r="DS28" s="688"/>
      <c r="DT28" s="688"/>
      <c r="DU28" s="688"/>
      <c r="DV28" s="688"/>
      <c r="DW28" s="688"/>
      <c r="DX28" s="688"/>
      <c r="DY28" s="688"/>
      <c r="DZ28" s="688"/>
      <c r="EA28" s="688"/>
      <c r="EB28" s="688"/>
      <c r="EC28" s="688"/>
      <c r="ED28" s="688"/>
      <c r="EE28" s="688"/>
      <c r="EF28" s="688"/>
      <c r="EG28" s="688"/>
      <c r="EH28" s="688"/>
      <c r="EI28" s="688"/>
      <c r="EJ28" s="688"/>
      <c r="EK28" s="688"/>
      <c r="EL28" s="688"/>
      <c r="EM28" s="688"/>
      <c r="EN28" s="688"/>
      <c r="EO28" s="688"/>
      <c r="EP28" s="688"/>
      <c r="EQ28" s="688"/>
      <c r="ER28" s="688"/>
      <c r="ES28" s="688"/>
      <c r="ET28" s="688"/>
      <c r="EU28" s="688"/>
      <c r="EV28" s="688"/>
      <c r="EW28" s="688"/>
      <c r="EX28" s="688"/>
      <c r="EY28" s="688"/>
      <c r="EZ28" s="688"/>
      <c r="FA28" s="688"/>
      <c r="FB28" s="688"/>
      <c r="FC28" s="688"/>
      <c r="FD28" s="688"/>
      <c r="FE28" s="688"/>
      <c r="FF28" s="688"/>
      <c r="FG28" s="688"/>
      <c r="FH28" s="688"/>
      <c r="FI28" s="688"/>
      <c r="FJ28" s="688"/>
      <c r="FK28" s="688"/>
      <c r="FL28" s="688"/>
      <c r="FM28" s="688"/>
      <c r="FN28" s="688"/>
      <c r="FO28" s="688"/>
      <c r="FP28" s="688"/>
      <c r="FQ28" s="688"/>
      <c r="FR28" s="688"/>
      <c r="FS28" s="688"/>
      <c r="FT28" s="688"/>
      <c r="FU28" s="688"/>
      <c r="FV28" s="688"/>
      <c r="FW28" s="688"/>
      <c r="FX28" s="688"/>
      <c r="FY28" s="688"/>
      <c r="FZ28" s="688"/>
      <c r="GA28" s="688"/>
      <c r="GB28" s="688"/>
      <c r="GC28" s="688"/>
      <c r="GD28" s="688"/>
      <c r="GE28" s="688"/>
      <c r="GF28" s="688"/>
      <c r="GG28" s="688"/>
      <c r="GH28" s="688"/>
      <c r="GI28" s="688"/>
      <c r="GJ28" s="688"/>
      <c r="GK28" s="688"/>
      <c r="GL28" s="688"/>
      <c r="GM28" s="688"/>
      <c r="GN28" s="688"/>
      <c r="GO28" s="688"/>
      <c r="GP28" s="688"/>
      <c r="GQ28" s="688"/>
      <c r="GR28" s="688"/>
      <c r="GS28" s="688"/>
      <c r="GT28" s="688"/>
      <c r="GU28" s="688"/>
      <c r="GV28" s="688"/>
      <c r="GW28" s="688"/>
      <c r="GX28" s="688"/>
      <c r="GY28" s="688"/>
      <c r="GZ28" s="688"/>
      <c r="HA28" s="688"/>
      <c r="HB28" s="688"/>
      <c r="HC28" s="688"/>
      <c r="HD28" s="688"/>
      <c r="HE28" s="688"/>
      <c r="HF28" s="688"/>
      <c r="HG28" s="688"/>
      <c r="HH28" s="688"/>
      <c r="HI28" s="688"/>
      <c r="HJ28" s="688"/>
      <c r="HK28" s="688"/>
      <c r="HL28" s="688"/>
      <c r="HM28" s="688"/>
      <c r="HN28" s="688"/>
      <c r="HO28" s="688"/>
      <c r="HP28" s="688"/>
      <c r="HQ28" s="688"/>
      <c r="HR28" s="688"/>
      <c r="HS28" s="688"/>
      <c r="HT28" s="688"/>
      <c r="HU28" s="688"/>
      <c r="HV28" s="688"/>
      <c r="HW28" s="688"/>
      <c r="HX28" s="688"/>
      <c r="HY28" s="688"/>
      <c r="HZ28" s="688"/>
      <c r="IA28" s="688"/>
      <c r="IB28" s="688"/>
      <c r="IC28" s="688"/>
      <c r="ID28" s="688"/>
      <c r="IE28" s="688"/>
      <c r="IF28" s="688"/>
      <c r="IG28" s="688"/>
      <c r="IH28" s="688"/>
      <c r="II28" s="688"/>
      <c r="IJ28" s="688"/>
      <c r="IK28" s="688"/>
      <c r="IL28" s="688"/>
      <c r="IM28" s="688"/>
      <c r="IN28" s="688"/>
      <c r="IO28" s="688"/>
      <c r="IP28" s="688"/>
      <c r="IQ28" s="688"/>
      <c r="IR28" s="688"/>
      <c r="IS28" s="688"/>
      <c r="IT28" s="688"/>
      <c r="IU28" s="688"/>
      <c r="IV28" s="688"/>
      <c r="IW28" s="688"/>
      <c r="IX28" s="688"/>
      <c r="IY28" s="688"/>
      <c r="IZ28" s="688"/>
      <c r="JA28" s="688"/>
      <c r="JB28" s="688"/>
      <c r="JC28" s="688"/>
      <c r="JD28" s="688"/>
      <c r="JE28" s="688"/>
      <c r="JF28" s="688"/>
      <c r="JG28" s="688"/>
      <c r="JH28" s="688"/>
      <c r="JI28" s="688"/>
      <c r="JJ28" s="688"/>
      <c r="JK28" s="688"/>
      <c r="JL28" s="688"/>
      <c r="JM28" s="688"/>
      <c r="JN28" s="688"/>
      <c r="JO28" s="688"/>
      <c r="JP28" s="688"/>
      <c r="JQ28" s="688"/>
      <c r="JR28" s="688"/>
      <c r="JS28" s="688"/>
      <c r="JT28" s="688"/>
      <c r="JU28" s="688"/>
      <c r="JV28" s="688"/>
      <c r="JW28" s="688"/>
      <c r="JX28" s="688"/>
      <c r="JY28" s="688"/>
      <c r="JZ28" s="688"/>
      <c r="KA28" s="688"/>
      <c r="KB28" s="688"/>
      <c r="KC28" s="688"/>
      <c r="KD28" s="688"/>
      <c r="KE28" s="688"/>
      <c r="KF28" s="688"/>
      <c r="KG28" s="688"/>
      <c r="KH28" s="688"/>
      <c r="KI28" s="688"/>
      <c r="KJ28" s="688"/>
      <c r="KK28" s="688"/>
      <c r="KL28" s="688"/>
      <c r="KM28" s="688"/>
      <c r="KN28" s="688"/>
      <c r="KO28" s="688"/>
      <c r="KP28" s="688"/>
      <c r="KQ28" s="688"/>
      <c r="KR28" s="688"/>
      <c r="KS28" s="688"/>
      <c r="KT28" s="688"/>
      <c r="KU28" s="688"/>
      <c r="KV28" s="688"/>
      <c r="KW28" s="688"/>
      <c r="KX28" s="688"/>
      <c r="KY28" s="688"/>
      <c r="KZ28" s="688"/>
      <c r="LA28" s="688"/>
      <c r="LB28" s="688"/>
      <c r="LC28" s="688"/>
      <c r="LD28" s="688"/>
      <c r="LE28" s="688"/>
      <c r="LF28" s="688"/>
      <c r="LG28" s="688"/>
      <c r="LH28" s="688"/>
      <c r="LI28" s="688"/>
      <c r="LJ28" s="688"/>
      <c r="LK28" s="688"/>
      <c r="LL28" s="688"/>
      <c r="LM28" s="688"/>
      <c r="LN28" s="688"/>
      <c r="LO28" s="688"/>
      <c r="LP28" s="688"/>
      <c r="LQ28" s="688"/>
      <c r="LR28" s="688"/>
      <c r="LS28" s="688"/>
      <c r="LT28" s="688"/>
      <c r="LU28" s="688"/>
      <c r="LV28" s="688"/>
      <c r="LW28" s="688"/>
      <c r="LX28" s="688"/>
      <c r="LY28" s="688"/>
      <c r="LZ28" s="688"/>
      <c r="MA28" s="688"/>
      <c r="MB28" s="688"/>
      <c r="MC28" s="688"/>
      <c r="MD28" s="688"/>
      <c r="ME28" s="688"/>
      <c r="MF28" s="688"/>
      <c r="MG28" s="688"/>
      <c r="MH28" s="688"/>
      <c r="MI28" s="688"/>
      <c r="MJ28" s="688"/>
      <c r="MK28" s="688"/>
      <c r="ML28" s="688"/>
      <c r="MM28" s="688"/>
      <c r="MN28" s="688"/>
      <c r="MO28" s="688"/>
      <c r="MP28" s="688"/>
      <c r="MQ28" s="688"/>
      <c r="MR28" s="688"/>
      <c r="MS28" s="688"/>
      <c r="MT28" s="688"/>
      <c r="MU28" s="688"/>
      <c r="MV28" s="688"/>
      <c r="MW28" s="688"/>
      <c r="MX28" s="688"/>
      <c r="MY28" s="688"/>
      <c r="MZ28" s="688"/>
      <c r="NA28" s="688"/>
      <c r="NB28" s="688"/>
      <c r="NC28" s="688"/>
      <c r="ND28" s="688"/>
      <c r="NE28" s="688"/>
      <c r="NF28" s="688"/>
      <c r="NG28" s="688"/>
      <c r="NH28" s="688"/>
      <c r="NI28" s="688"/>
      <c r="NJ28" s="688"/>
      <c r="NK28" s="688"/>
      <c r="NL28" s="688"/>
      <c r="NM28" s="688"/>
      <c r="NN28" s="688"/>
      <c r="NO28" s="688"/>
      <c r="NP28" s="688"/>
      <c r="NQ28" s="688"/>
      <c r="NR28" s="688"/>
      <c r="NS28" s="688"/>
      <c r="NT28" s="688"/>
      <c r="NU28" s="688"/>
      <c r="NV28" s="688"/>
      <c r="NW28" s="688"/>
      <c r="NX28" s="688"/>
      <c r="NY28" s="688"/>
      <c r="NZ28" s="688"/>
      <c r="OA28" s="688"/>
      <c r="OB28" s="688"/>
      <c r="OC28" s="688"/>
      <c r="OD28" s="688"/>
      <c r="OE28" s="688"/>
      <c r="OF28" s="688"/>
      <c r="OG28" s="688"/>
      <c r="OH28" s="688"/>
      <c r="OI28" s="688"/>
      <c r="OJ28" s="688"/>
      <c r="OK28" s="688"/>
      <c r="OL28" s="688"/>
      <c r="OM28" s="688"/>
      <c r="ON28" s="688"/>
      <c r="OO28" s="688"/>
      <c r="OP28" s="688"/>
      <c r="OQ28" s="688"/>
      <c r="OR28" s="688"/>
      <c r="OS28" s="688"/>
      <c r="OT28" s="688"/>
      <c r="OU28" s="688"/>
      <c r="OV28" s="688"/>
      <c r="OW28" s="688"/>
      <c r="OX28" s="688"/>
      <c r="OY28" s="688"/>
      <c r="OZ28" s="688"/>
      <c r="PA28" s="688"/>
      <c r="PB28" s="688"/>
      <c r="PC28" s="688"/>
      <c r="PD28" s="688"/>
      <c r="PE28" s="688"/>
      <c r="PF28" s="688"/>
      <c r="PG28" s="688"/>
      <c r="PH28" s="688"/>
      <c r="PI28" s="688"/>
      <c r="PJ28" s="688"/>
      <c r="PK28" s="688"/>
      <c r="PL28" s="688"/>
      <c r="PM28" s="688"/>
      <c r="PN28" s="688"/>
      <c r="PO28" s="688"/>
      <c r="PP28" s="688"/>
      <c r="PQ28" s="688"/>
      <c r="PR28" s="688"/>
      <c r="PS28" s="688"/>
      <c r="PT28" s="688"/>
      <c r="PU28" s="688"/>
      <c r="PV28" s="688"/>
      <c r="PW28" s="688"/>
      <c r="PX28" s="688"/>
      <c r="PY28" s="688"/>
      <c r="PZ28" s="688"/>
      <c r="QA28" s="688"/>
      <c r="QB28" s="688"/>
      <c r="QC28" s="688"/>
      <c r="QD28" s="688"/>
      <c r="QE28" s="688"/>
      <c r="QF28" s="688"/>
      <c r="QG28" s="688"/>
      <c r="QH28" s="688"/>
      <c r="QI28" s="688"/>
      <c r="QJ28" s="688"/>
      <c r="QK28" s="688"/>
      <c r="QL28" s="688"/>
      <c r="QM28" s="688"/>
      <c r="QN28" s="688"/>
      <c r="QO28" s="688"/>
      <c r="QP28" s="688"/>
      <c r="QQ28" s="688"/>
      <c r="QR28" s="688"/>
      <c r="QS28" s="688"/>
      <c r="QT28" s="688"/>
      <c r="QU28" s="688"/>
      <c r="QV28" s="688"/>
      <c r="QW28" s="688"/>
      <c r="QX28" s="688"/>
      <c r="QY28" s="688"/>
      <c r="QZ28" s="688"/>
      <c r="RA28" s="688"/>
      <c r="RB28" s="688"/>
      <c r="RC28" s="688"/>
      <c r="RD28" s="688"/>
      <c r="RE28" s="688"/>
      <c r="RF28" s="688"/>
      <c r="RG28" s="688"/>
      <c r="RH28" s="688"/>
      <c r="RI28" s="688"/>
      <c r="RJ28" s="688"/>
      <c r="RK28" s="688"/>
      <c r="RL28" s="688"/>
      <c r="RM28" s="688"/>
      <c r="RN28" s="688"/>
      <c r="RO28" s="688"/>
      <c r="RP28" s="688"/>
      <c r="RQ28" s="688"/>
      <c r="RR28" s="688"/>
      <c r="RS28" s="688"/>
      <c r="RT28" s="688"/>
      <c r="RU28" s="688"/>
      <c r="RV28" s="688"/>
      <c r="RW28" s="688"/>
      <c r="RX28" s="688"/>
      <c r="RY28" s="688"/>
      <c r="RZ28" s="688"/>
      <c r="SA28" s="688"/>
      <c r="SB28" s="688"/>
      <c r="SC28" s="688"/>
      <c r="SD28" s="688"/>
      <c r="SE28" s="688"/>
      <c r="SF28" s="688"/>
      <c r="SG28" s="688"/>
      <c r="SH28" s="688"/>
      <c r="SI28" s="688"/>
      <c r="SJ28" s="688"/>
      <c r="SK28" s="688"/>
      <c r="SL28" s="688"/>
      <c r="SM28" s="688"/>
      <c r="SN28" s="688"/>
      <c r="SO28" s="688"/>
      <c r="SP28" s="688"/>
      <c r="SQ28" s="688"/>
      <c r="SR28" s="688"/>
      <c r="SS28" s="688"/>
      <c r="ST28" s="688"/>
      <c r="SU28" s="688"/>
      <c r="SV28" s="688"/>
      <c r="SW28" s="688"/>
      <c r="SX28" s="688"/>
      <c r="SY28" s="688"/>
      <c r="SZ28" s="688"/>
      <c r="TA28" s="688"/>
      <c r="TB28" s="688"/>
      <c r="TC28" s="688"/>
      <c r="TD28" s="688"/>
      <c r="TE28" s="688"/>
      <c r="TF28" s="688"/>
      <c r="TG28" s="688"/>
      <c r="TH28" s="688"/>
      <c r="TI28" s="688"/>
      <c r="TJ28" s="688"/>
      <c r="TK28" s="688"/>
      <c r="TL28" s="688"/>
      <c r="TM28" s="688"/>
      <c r="TN28" s="688"/>
      <c r="TO28" s="688"/>
      <c r="TP28" s="688"/>
      <c r="TQ28" s="688"/>
      <c r="TR28" s="688"/>
      <c r="TS28" s="688"/>
      <c r="TT28" s="688"/>
      <c r="TU28" s="688"/>
      <c r="TV28" s="688"/>
      <c r="TW28" s="688"/>
      <c r="TX28" s="688"/>
      <c r="TY28" s="688"/>
      <c r="TZ28" s="688"/>
      <c r="UA28" s="688"/>
      <c r="UB28" s="688"/>
      <c r="UC28" s="688"/>
      <c r="UD28" s="688"/>
      <c r="UE28" s="688"/>
      <c r="UF28" s="688"/>
      <c r="UG28" s="688"/>
      <c r="UH28" s="688"/>
      <c r="UI28" s="688"/>
      <c r="UJ28" s="688"/>
      <c r="UK28" s="688"/>
      <c r="UL28" s="688"/>
      <c r="UM28" s="688"/>
      <c r="UN28" s="688"/>
      <c r="UO28" s="688"/>
      <c r="UP28" s="688"/>
      <c r="UQ28" s="688"/>
      <c r="UR28" s="688"/>
      <c r="US28" s="688"/>
      <c r="UT28" s="688"/>
      <c r="UU28" s="688"/>
      <c r="UV28" s="688"/>
      <c r="UW28" s="688"/>
      <c r="UX28" s="688"/>
      <c r="UY28" s="688"/>
      <c r="UZ28" s="688"/>
      <c r="VA28" s="688"/>
      <c r="VB28" s="688"/>
      <c r="VC28" s="688"/>
      <c r="VD28" s="688"/>
      <c r="VE28" s="688"/>
      <c r="VF28" s="688"/>
      <c r="VG28" s="688"/>
      <c r="VH28" s="688"/>
      <c r="VI28" s="688"/>
      <c r="VJ28" s="688"/>
      <c r="VK28" s="688"/>
      <c r="VL28" s="688"/>
      <c r="VM28" s="688"/>
      <c r="VN28" s="688"/>
      <c r="VO28" s="688"/>
      <c r="VP28" s="688"/>
      <c r="VQ28" s="688"/>
      <c r="VR28" s="688"/>
      <c r="VS28" s="688"/>
      <c r="VT28" s="688"/>
      <c r="VU28" s="688"/>
      <c r="VV28" s="688"/>
      <c r="VW28" s="688"/>
      <c r="VX28" s="688"/>
      <c r="VY28" s="688"/>
      <c r="VZ28" s="688"/>
      <c r="WA28" s="688"/>
      <c r="WB28" s="688"/>
      <c r="WC28" s="688"/>
      <c r="WD28" s="688"/>
      <c r="WE28" s="688"/>
      <c r="WF28" s="688"/>
      <c r="WG28" s="688"/>
      <c r="WH28" s="688"/>
      <c r="WI28" s="688"/>
      <c r="WJ28" s="688"/>
      <c r="WK28" s="688"/>
      <c r="WL28" s="688"/>
      <c r="WM28" s="688"/>
      <c r="WN28" s="688"/>
      <c r="WO28" s="688"/>
      <c r="WP28" s="688"/>
      <c r="WQ28" s="688"/>
      <c r="WR28" s="688"/>
      <c r="WS28" s="688"/>
      <c r="WT28" s="688"/>
      <c r="WU28" s="688"/>
      <c r="WV28" s="688"/>
      <c r="WW28" s="688"/>
      <c r="WX28" s="688"/>
      <c r="WY28" s="688"/>
      <c r="WZ28" s="688"/>
      <c r="XA28" s="688"/>
      <c r="XB28" s="688"/>
      <c r="XC28" s="688"/>
      <c r="XD28" s="688"/>
      <c r="XE28" s="688"/>
      <c r="XF28" s="688"/>
      <c r="XG28" s="688"/>
      <c r="XH28" s="688"/>
      <c r="XI28" s="688"/>
      <c r="XJ28" s="688"/>
      <c r="XK28" s="688"/>
      <c r="XL28" s="688"/>
      <c r="XM28" s="688"/>
      <c r="XN28" s="688"/>
      <c r="XO28" s="688"/>
      <c r="XP28" s="688"/>
      <c r="XQ28" s="688"/>
      <c r="XR28" s="688"/>
      <c r="XS28" s="688"/>
      <c r="XT28" s="688"/>
      <c r="XU28" s="688"/>
      <c r="XV28" s="688"/>
      <c r="XW28" s="688"/>
      <c r="XX28" s="688"/>
      <c r="XY28" s="688"/>
      <c r="XZ28" s="688"/>
      <c r="YA28" s="688"/>
      <c r="YB28" s="688"/>
      <c r="YC28" s="688"/>
      <c r="YD28" s="688"/>
      <c r="YE28" s="688"/>
      <c r="YF28" s="688"/>
      <c r="YG28" s="688"/>
      <c r="YH28" s="688"/>
      <c r="YI28" s="688"/>
      <c r="YJ28" s="688"/>
      <c r="YK28" s="688"/>
      <c r="YL28" s="688"/>
      <c r="YM28" s="688"/>
      <c r="YN28" s="688"/>
      <c r="YO28" s="688"/>
      <c r="YP28" s="688"/>
      <c r="YQ28" s="688"/>
      <c r="YR28" s="688"/>
      <c r="YS28" s="688"/>
      <c r="YT28" s="688"/>
      <c r="YU28" s="688"/>
      <c r="YV28" s="688"/>
      <c r="YW28" s="688"/>
      <c r="YX28" s="688"/>
      <c r="YY28" s="688"/>
      <c r="YZ28" s="688"/>
      <c r="ZA28" s="688"/>
      <c r="ZB28" s="688"/>
      <c r="ZC28" s="688"/>
      <c r="ZD28" s="688"/>
      <c r="ZE28" s="688"/>
      <c r="ZF28" s="688"/>
      <c r="ZG28" s="688"/>
      <c r="ZH28" s="688"/>
      <c r="ZI28" s="688"/>
      <c r="ZJ28" s="688"/>
      <c r="ZK28" s="688"/>
      <c r="ZL28" s="688"/>
      <c r="ZM28" s="688"/>
      <c r="ZN28" s="688"/>
      <c r="ZO28" s="688"/>
      <c r="ZP28" s="688"/>
      <c r="ZQ28" s="688"/>
      <c r="ZR28" s="688"/>
      <c r="ZS28" s="688"/>
      <c r="ZT28" s="688"/>
      <c r="ZU28" s="688"/>
      <c r="ZV28" s="688"/>
      <c r="ZW28" s="688"/>
      <c r="ZX28" s="688"/>
      <c r="ZY28" s="688"/>
      <c r="ZZ28" s="688"/>
      <c r="AAA28" s="688"/>
      <c r="AAB28" s="688"/>
      <c r="AAC28" s="688"/>
      <c r="AAD28" s="688"/>
      <c r="AAE28" s="688"/>
      <c r="AAF28" s="688"/>
      <c r="AAG28" s="688"/>
      <c r="AAH28" s="688"/>
      <c r="AAI28" s="688"/>
      <c r="AAJ28" s="688"/>
      <c r="AAK28" s="688"/>
      <c r="AAL28" s="688"/>
      <c r="AAM28" s="688"/>
      <c r="AAN28" s="688"/>
      <c r="AAO28" s="688"/>
      <c r="AAP28" s="688"/>
      <c r="AAQ28" s="688"/>
      <c r="AAR28" s="688"/>
      <c r="AAS28" s="688"/>
      <c r="AAT28" s="688"/>
      <c r="AAU28" s="688"/>
      <c r="AAV28" s="688"/>
      <c r="AAW28" s="688"/>
      <c r="AAX28" s="688"/>
      <c r="AAY28" s="688"/>
      <c r="AAZ28" s="688"/>
      <c r="ABA28" s="688"/>
      <c r="ABB28" s="688"/>
      <c r="ABC28" s="688"/>
      <c r="ABD28" s="688"/>
      <c r="ABE28" s="688"/>
      <c r="ABF28" s="688"/>
      <c r="ABG28" s="688"/>
      <c r="ABH28" s="688"/>
      <c r="ABI28" s="688"/>
      <c r="ABJ28" s="688"/>
      <c r="ABK28" s="688"/>
      <c r="ABL28" s="688"/>
      <c r="ABM28" s="688"/>
      <c r="ABN28" s="688"/>
      <c r="ABO28" s="688"/>
      <c r="ABP28" s="688"/>
      <c r="ABQ28" s="688"/>
      <c r="ABR28" s="688"/>
      <c r="ABS28" s="688"/>
      <c r="ABT28" s="688"/>
      <c r="ABU28" s="688"/>
      <c r="ABV28" s="688"/>
      <c r="ABW28" s="688"/>
      <c r="ABX28" s="688"/>
      <c r="ABY28" s="688"/>
      <c r="ABZ28" s="688"/>
      <c r="ACA28" s="688"/>
      <c r="ACB28" s="688"/>
      <c r="ACC28" s="688"/>
      <c r="ACD28" s="688"/>
      <c r="ACE28" s="688"/>
      <c r="ACF28" s="688"/>
      <c r="ACG28" s="688"/>
      <c r="ACH28" s="688"/>
      <c r="ACI28" s="688"/>
      <c r="ACJ28" s="688"/>
      <c r="ACK28" s="688"/>
      <c r="ACL28" s="688"/>
      <c r="ACM28" s="688"/>
      <c r="ACN28" s="688"/>
      <c r="ACO28" s="688"/>
      <c r="ACP28" s="688"/>
      <c r="ACQ28" s="688"/>
      <c r="ACR28" s="688"/>
      <c r="ACS28" s="688"/>
      <c r="ACT28" s="688"/>
      <c r="ACU28" s="688"/>
      <c r="ACV28" s="688"/>
      <c r="ACW28" s="688"/>
      <c r="ACX28" s="688"/>
      <c r="ACY28" s="688"/>
      <c r="ACZ28" s="688"/>
      <c r="ADA28" s="688"/>
      <c r="ADB28" s="688"/>
      <c r="ADC28" s="688"/>
      <c r="ADD28" s="688"/>
      <c r="ADE28" s="688"/>
      <c r="ADF28" s="688"/>
      <c r="ADG28" s="688"/>
      <c r="ADH28" s="688"/>
      <c r="ADI28" s="688"/>
      <c r="ADJ28" s="688"/>
      <c r="ADK28" s="688"/>
      <c r="ADL28" s="688"/>
      <c r="ADM28" s="688"/>
      <c r="ADN28" s="688"/>
      <c r="ADO28" s="688"/>
      <c r="ADP28" s="688"/>
      <c r="ADQ28" s="688"/>
      <c r="ADR28" s="688"/>
      <c r="ADS28" s="688"/>
      <c r="ADT28" s="688"/>
      <c r="ADU28" s="688"/>
      <c r="ADV28" s="688"/>
      <c r="ADW28" s="688"/>
      <c r="ADX28" s="688"/>
      <c r="ADY28" s="688"/>
      <c r="ADZ28" s="688"/>
      <c r="AEA28" s="688"/>
      <c r="AEB28" s="688"/>
      <c r="AEC28" s="688"/>
      <c r="AED28" s="688"/>
      <c r="AEE28" s="688"/>
      <c r="AEF28" s="688"/>
      <c r="AEG28" s="688"/>
      <c r="AEH28" s="688"/>
      <c r="AEI28" s="688"/>
      <c r="AEJ28" s="688"/>
      <c r="AEK28" s="688"/>
      <c r="AEL28" s="688"/>
      <c r="AEM28" s="688"/>
      <c r="AEN28" s="688"/>
      <c r="AEO28" s="688"/>
      <c r="AEP28" s="688"/>
      <c r="AEQ28" s="688"/>
      <c r="AER28" s="688"/>
      <c r="AES28" s="688"/>
      <c r="AET28" s="688"/>
      <c r="AEU28" s="688"/>
      <c r="AEV28" s="688"/>
      <c r="AEW28" s="688"/>
      <c r="AEX28" s="688"/>
      <c r="AEY28" s="688"/>
      <c r="AEZ28" s="688"/>
      <c r="AFA28" s="688"/>
      <c r="AFB28" s="688"/>
      <c r="AFC28" s="688"/>
      <c r="AFD28" s="688"/>
      <c r="AFE28" s="688"/>
      <c r="AFF28" s="688"/>
      <c r="AFG28" s="688"/>
      <c r="AFH28" s="688"/>
      <c r="AFI28" s="688"/>
      <c r="AFJ28" s="688"/>
      <c r="AFK28" s="688"/>
      <c r="AFL28" s="688"/>
      <c r="AFM28" s="688"/>
      <c r="AFN28" s="688"/>
      <c r="AFO28" s="688"/>
      <c r="AFP28" s="688"/>
      <c r="AFQ28" s="688"/>
      <c r="AFR28" s="688"/>
      <c r="AFS28" s="688"/>
      <c r="AFT28" s="688"/>
      <c r="AFU28" s="688"/>
      <c r="AFV28" s="688"/>
      <c r="AFW28" s="688"/>
      <c r="AFX28" s="688"/>
      <c r="AFY28" s="688"/>
      <c r="AFZ28" s="688"/>
      <c r="AGA28" s="688"/>
      <c r="AGB28" s="688"/>
      <c r="AGC28" s="688"/>
      <c r="AGD28" s="688"/>
      <c r="AGE28" s="688"/>
      <c r="AGF28" s="688"/>
      <c r="AGG28" s="688"/>
      <c r="AGH28" s="688"/>
      <c r="AGI28" s="688"/>
      <c r="AGJ28" s="688"/>
      <c r="AGK28" s="688"/>
      <c r="AGL28" s="688"/>
      <c r="AGM28" s="688"/>
      <c r="AGN28" s="688"/>
      <c r="AGO28" s="688"/>
      <c r="AGP28" s="688"/>
      <c r="AGQ28" s="688"/>
      <c r="AGR28" s="688"/>
      <c r="AGS28" s="688"/>
      <c r="AGT28" s="688"/>
      <c r="AGU28" s="688"/>
      <c r="AGV28" s="688"/>
      <c r="AGW28" s="688"/>
      <c r="AGX28" s="688"/>
      <c r="AGY28" s="688"/>
      <c r="AGZ28" s="688"/>
      <c r="AHA28" s="688"/>
      <c r="AHB28" s="688"/>
      <c r="AHC28" s="688"/>
      <c r="AHD28" s="688"/>
      <c r="AHE28" s="688"/>
      <c r="AHF28" s="688"/>
      <c r="AHG28" s="688"/>
      <c r="AHH28" s="688"/>
      <c r="AHI28" s="688"/>
      <c r="AHJ28" s="688"/>
      <c r="AHK28" s="688"/>
      <c r="AHL28" s="688"/>
      <c r="AHM28" s="688"/>
      <c r="AHN28" s="688"/>
      <c r="AHO28" s="688"/>
      <c r="AHP28" s="688"/>
      <c r="AHQ28" s="688"/>
      <c r="AHR28" s="688"/>
      <c r="AHS28" s="688"/>
      <c r="AHT28" s="688"/>
      <c r="AHU28" s="688"/>
      <c r="AHV28" s="688"/>
      <c r="AHW28" s="688"/>
      <c r="AHX28" s="688"/>
      <c r="AHY28" s="688"/>
      <c r="AHZ28" s="688"/>
      <c r="AIA28" s="688"/>
      <c r="AIB28" s="688"/>
      <c r="AIC28" s="688"/>
      <c r="AID28" s="688"/>
      <c r="AIE28" s="688"/>
      <c r="AIF28" s="688"/>
      <c r="AIG28" s="688"/>
      <c r="AIH28" s="688"/>
      <c r="AII28" s="688"/>
      <c r="AIJ28" s="688"/>
      <c r="AIK28" s="688"/>
      <c r="AIL28" s="688"/>
      <c r="AIM28" s="688"/>
      <c r="AIN28" s="688"/>
      <c r="AIO28" s="688"/>
      <c r="AIP28" s="688"/>
      <c r="AIQ28" s="688"/>
      <c r="AIR28" s="688"/>
      <c r="AIS28" s="688"/>
      <c r="AIT28" s="688"/>
      <c r="AIU28" s="688"/>
      <c r="AIV28" s="688"/>
      <c r="AIW28" s="688"/>
      <c r="AIX28" s="688"/>
      <c r="AIY28" s="688"/>
      <c r="AIZ28" s="688"/>
      <c r="AJA28" s="688"/>
      <c r="AJB28" s="688"/>
      <c r="AJC28" s="688"/>
      <c r="AJD28" s="688"/>
      <c r="AJE28" s="688"/>
      <c r="AJF28" s="688"/>
      <c r="AJG28" s="688"/>
      <c r="AJH28" s="688"/>
      <c r="AJI28" s="688"/>
      <c r="AJJ28" s="688"/>
      <c r="AJK28" s="688"/>
      <c r="AJL28" s="688"/>
      <c r="AJM28" s="688"/>
      <c r="AJN28" s="688"/>
      <c r="AJO28" s="688"/>
      <c r="AJP28" s="688"/>
      <c r="AJQ28" s="688"/>
      <c r="AJR28" s="688"/>
      <c r="AJS28" s="688"/>
      <c r="AJT28" s="688"/>
      <c r="AJU28" s="688"/>
      <c r="AJV28" s="688"/>
      <c r="AJW28" s="688"/>
      <c r="AJX28" s="688"/>
      <c r="AJY28" s="688"/>
      <c r="AJZ28" s="688"/>
      <c r="AKA28" s="688"/>
      <c r="AKB28" s="688"/>
      <c r="AKC28" s="688"/>
      <c r="AKD28" s="688"/>
      <c r="AKE28" s="688"/>
      <c r="AKF28" s="688"/>
      <c r="AKG28" s="688"/>
      <c r="AKH28" s="688"/>
      <c r="AKI28" s="688"/>
      <c r="AKJ28" s="688"/>
      <c r="AKK28" s="688"/>
      <c r="AKL28" s="688"/>
      <c r="AKM28" s="688"/>
      <c r="AKN28" s="688"/>
      <c r="AKO28" s="688"/>
      <c r="AKP28" s="688"/>
      <c r="AKQ28" s="688"/>
      <c r="AKR28" s="688"/>
      <c r="AKS28" s="688"/>
      <c r="AKT28" s="688"/>
      <c r="AKU28" s="688"/>
      <c r="AKV28" s="688"/>
      <c r="AKW28" s="688"/>
      <c r="AKX28" s="688"/>
      <c r="AKY28" s="688"/>
      <c r="AKZ28" s="688"/>
      <c r="ALA28" s="688"/>
      <c r="ALB28" s="688"/>
      <c r="ALC28" s="688"/>
      <c r="ALD28" s="688"/>
      <c r="ALE28" s="688"/>
      <c r="ALF28" s="688"/>
      <c r="ALG28" s="688"/>
      <c r="ALH28" s="688"/>
      <c r="ALI28" s="688"/>
      <c r="ALJ28" s="688"/>
      <c r="ALK28" s="688"/>
      <c r="ALL28" s="688"/>
      <c r="ALM28" s="688"/>
      <c r="ALN28" s="688"/>
      <c r="ALO28" s="688"/>
      <c r="ALP28" s="688"/>
      <c r="ALQ28" s="688"/>
      <c r="ALR28" s="688"/>
      <c r="ALS28" s="688"/>
      <c r="ALT28" s="688"/>
      <c r="ALU28" s="688"/>
      <c r="ALV28" s="688"/>
      <c r="ALW28" s="688"/>
      <c r="ALX28" s="688"/>
      <c r="ALY28" s="688"/>
      <c r="ALZ28" s="688"/>
      <c r="AMA28" s="688"/>
      <c r="AMB28" s="688"/>
      <c r="AMC28" s="688"/>
      <c r="AMD28" s="688"/>
      <c r="AME28" s="688"/>
      <c r="AMF28" s="688"/>
      <c r="AMG28" s="688"/>
      <c r="AMH28" s="688"/>
      <c r="AMI28" s="688"/>
      <c r="AMJ28" s="688"/>
    </row>
    <row r="29" spans="1:1024" s="695" customFormat="1" ht="48" customHeight="1">
      <c r="A29" s="692"/>
      <c r="B29" s="692"/>
      <c r="C29" s="692"/>
      <c r="D29" s="693" t="s">
        <v>696</v>
      </c>
      <c r="E29" s="694" t="e">
        <f>#REF!</f>
        <v>#REF!</v>
      </c>
      <c r="F29" s="692" t="s">
        <v>697</v>
      </c>
      <c r="P29" s="689"/>
      <c r="Q29" s="690"/>
    </row>
    <row r="30" spans="1:1024" ht="57.75" customHeight="1">
      <c r="A30" s="692"/>
      <c r="B30" s="1649" t="s">
        <v>698</v>
      </c>
      <c r="C30" s="1649"/>
      <c r="D30" s="1649"/>
      <c r="E30" s="1649"/>
      <c r="F30" s="1649"/>
      <c r="G30" s="688"/>
      <c r="H30" s="688"/>
      <c r="I30" s="688"/>
      <c r="J30" s="688"/>
      <c r="K30" s="688"/>
      <c r="L30" s="688"/>
      <c r="M30" s="688"/>
      <c r="N30" s="688"/>
      <c r="O30" s="688"/>
      <c r="P30" s="689"/>
      <c r="Q30" s="690"/>
      <c r="R30" s="688"/>
      <c r="S30" s="688"/>
      <c r="T30" s="688"/>
      <c r="U30" s="688"/>
      <c r="V30" s="688"/>
      <c r="W30" s="688"/>
      <c r="X30" s="688"/>
      <c r="Y30" s="688"/>
      <c r="Z30" s="688"/>
      <c r="AA30" s="688"/>
      <c r="AB30" s="688"/>
      <c r="AC30" s="688"/>
      <c r="AD30" s="688"/>
      <c r="AE30" s="688"/>
      <c r="AF30" s="688"/>
      <c r="AG30" s="688"/>
      <c r="AH30" s="688"/>
      <c r="AI30" s="688"/>
      <c r="AJ30" s="688"/>
      <c r="AK30" s="688"/>
      <c r="AL30" s="688"/>
      <c r="AM30" s="688"/>
      <c r="AN30" s="688"/>
      <c r="AO30" s="688"/>
      <c r="AP30" s="688"/>
      <c r="AQ30" s="688"/>
      <c r="AR30" s="688"/>
      <c r="AS30" s="688"/>
      <c r="AT30" s="688"/>
      <c r="AU30" s="688"/>
      <c r="AV30" s="688"/>
      <c r="AW30" s="688"/>
      <c r="AX30" s="688"/>
      <c r="AY30" s="688"/>
      <c r="AZ30" s="688"/>
      <c r="BA30" s="688"/>
      <c r="BB30" s="688"/>
      <c r="BC30" s="688"/>
      <c r="BD30" s="688"/>
      <c r="BE30" s="688"/>
      <c r="BF30" s="688"/>
      <c r="BG30" s="688"/>
      <c r="BH30" s="688"/>
      <c r="BI30" s="688"/>
      <c r="BJ30" s="688"/>
      <c r="BK30" s="688"/>
      <c r="BL30" s="688"/>
      <c r="BM30" s="688"/>
      <c r="BN30" s="688"/>
      <c r="BO30" s="688"/>
      <c r="BP30" s="688"/>
      <c r="BQ30" s="688"/>
      <c r="BR30" s="688"/>
      <c r="BS30" s="688"/>
      <c r="BT30" s="688"/>
      <c r="BU30" s="688"/>
      <c r="BV30" s="688"/>
      <c r="BW30" s="688"/>
      <c r="BX30" s="688"/>
      <c r="BY30" s="688"/>
      <c r="BZ30" s="688"/>
      <c r="CA30" s="688"/>
      <c r="CB30" s="688"/>
      <c r="CC30" s="688"/>
      <c r="CD30" s="688"/>
      <c r="CE30" s="688"/>
      <c r="CF30" s="688"/>
      <c r="CG30" s="688"/>
      <c r="CH30" s="688"/>
      <c r="CI30" s="688"/>
      <c r="CJ30" s="688"/>
      <c r="CK30" s="688"/>
      <c r="CL30" s="688"/>
      <c r="CM30" s="688"/>
      <c r="CN30" s="688"/>
      <c r="CO30" s="688"/>
      <c r="CP30" s="688"/>
      <c r="CQ30" s="688"/>
      <c r="CR30" s="688"/>
      <c r="CS30" s="688"/>
      <c r="CT30" s="688"/>
      <c r="CU30" s="688"/>
      <c r="CV30" s="688"/>
      <c r="CW30" s="688"/>
      <c r="CX30" s="688"/>
      <c r="CY30" s="688"/>
      <c r="CZ30" s="688"/>
      <c r="DA30" s="688"/>
      <c r="DB30" s="688"/>
      <c r="DC30" s="688"/>
      <c r="DD30" s="688"/>
      <c r="DE30" s="688"/>
      <c r="DF30" s="688"/>
      <c r="DG30" s="688"/>
      <c r="DH30" s="688"/>
      <c r="DI30" s="688"/>
      <c r="DJ30" s="688"/>
      <c r="DK30" s="688"/>
      <c r="DL30" s="688"/>
      <c r="DM30" s="688"/>
      <c r="DN30" s="688"/>
      <c r="DO30" s="688"/>
      <c r="DP30" s="688"/>
      <c r="DQ30" s="688"/>
      <c r="DR30" s="688"/>
      <c r="DS30" s="688"/>
      <c r="DT30" s="688"/>
      <c r="DU30" s="688"/>
      <c r="DV30" s="688"/>
      <c r="DW30" s="688"/>
      <c r="DX30" s="688"/>
      <c r="DY30" s="688"/>
      <c r="DZ30" s="688"/>
      <c r="EA30" s="688"/>
      <c r="EB30" s="688"/>
      <c r="EC30" s="688"/>
      <c r="ED30" s="688"/>
      <c r="EE30" s="688"/>
      <c r="EF30" s="688"/>
      <c r="EG30" s="688"/>
      <c r="EH30" s="688"/>
      <c r="EI30" s="688"/>
      <c r="EJ30" s="688"/>
      <c r="EK30" s="688"/>
      <c r="EL30" s="688"/>
      <c r="EM30" s="688"/>
      <c r="EN30" s="688"/>
      <c r="EO30" s="688"/>
      <c r="EP30" s="688"/>
      <c r="EQ30" s="688"/>
      <c r="ER30" s="688"/>
      <c r="ES30" s="688"/>
      <c r="ET30" s="688"/>
      <c r="EU30" s="688"/>
      <c r="EV30" s="688"/>
      <c r="EW30" s="688"/>
      <c r="EX30" s="688"/>
      <c r="EY30" s="688"/>
      <c r="EZ30" s="688"/>
      <c r="FA30" s="688"/>
      <c r="FB30" s="688"/>
      <c r="FC30" s="688"/>
      <c r="FD30" s="688"/>
      <c r="FE30" s="688"/>
      <c r="FF30" s="688"/>
      <c r="FG30" s="688"/>
      <c r="FH30" s="688"/>
      <c r="FI30" s="688"/>
      <c r="FJ30" s="688"/>
      <c r="FK30" s="688"/>
      <c r="FL30" s="688"/>
      <c r="FM30" s="688"/>
      <c r="FN30" s="688"/>
      <c r="FO30" s="688"/>
      <c r="FP30" s="688"/>
      <c r="FQ30" s="688"/>
      <c r="FR30" s="688"/>
      <c r="FS30" s="688"/>
      <c r="FT30" s="688"/>
      <c r="FU30" s="688"/>
      <c r="FV30" s="688"/>
      <c r="FW30" s="688"/>
      <c r="FX30" s="688"/>
      <c r="FY30" s="688"/>
      <c r="FZ30" s="688"/>
      <c r="GA30" s="688"/>
      <c r="GB30" s="688"/>
      <c r="GC30" s="688"/>
      <c r="GD30" s="688"/>
      <c r="GE30" s="688"/>
      <c r="GF30" s="688"/>
      <c r="GG30" s="688"/>
      <c r="GH30" s="688"/>
      <c r="GI30" s="688"/>
      <c r="GJ30" s="688"/>
      <c r="GK30" s="688"/>
      <c r="GL30" s="688"/>
      <c r="GM30" s="688"/>
      <c r="GN30" s="688"/>
      <c r="GO30" s="688"/>
      <c r="GP30" s="688"/>
      <c r="GQ30" s="688"/>
      <c r="GR30" s="688"/>
      <c r="GS30" s="688"/>
      <c r="GT30" s="688"/>
      <c r="GU30" s="688"/>
      <c r="GV30" s="688"/>
      <c r="GW30" s="688"/>
      <c r="GX30" s="688"/>
      <c r="GY30" s="688"/>
      <c r="GZ30" s="688"/>
      <c r="HA30" s="688"/>
      <c r="HB30" s="688"/>
      <c r="HC30" s="688"/>
      <c r="HD30" s="688"/>
      <c r="HE30" s="688"/>
      <c r="HF30" s="688"/>
      <c r="HG30" s="688"/>
      <c r="HH30" s="688"/>
      <c r="HI30" s="688"/>
      <c r="HJ30" s="688"/>
      <c r="HK30" s="688"/>
      <c r="HL30" s="688"/>
      <c r="HM30" s="688"/>
      <c r="HN30" s="688"/>
      <c r="HO30" s="688"/>
      <c r="HP30" s="688"/>
      <c r="HQ30" s="688"/>
      <c r="HR30" s="688"/>
      <c r="HS30" s="688"/>
      <c r="HT30" s="688"/>
      <c r="HU30" s="688"/>
      <c r="HV30" s="688"/>
      <c r="HW30" s="688"/>
      <c r="HX30" s="688"/>
      <c r="HY30" s="688"/>
      <c r="HZ30" s="688"/>
      <c r="IA30" s="688"/>
      <c r="IB30" s="688"/>
      <c r="IC30" s="688"/>
      <c r="ID30" s="688"/>
      <c r="IE30" s="688"/>
      <c r="IF30" s="688"/>
      <c r="IG30" s="688"/>
      <c r="IH30" s="688"/>
      <c r="II30" s="688"/>
      <c r="IJ30" s="688"/>
      <c r="IK30" s="688"/>
      <c r="IL30" s="688"/>
      <c r="IM30" s="688"/>
      <c r="IN30" s="688"/>
      <c r="IO30" s="688"/>
      <c r="IP30" s="688"/>
      <c r="IQ30" s="688"/>
      <c r="IR30" s="688"/>
      <c r="IS30" s="688"/>
      <c r="IT30" s="688"/>
      <c r="IU30" s="688"/>
      <c r="IV30" s="688"/>
      <c r="IW30" s="688"/>
      <c r="IX30" s="688"/>
      <c r="IY30" s="688"/>
      <c r="IZ30" s="688"/>
      <c r="JA30" s="688"/>
      <c r="JB30" s="688"/>
      <c r="JC30" s="688"/>
      <c r="JD30" s="688"/>
      <c r="JE30" s="688"/>
      <c r="JF30" s="688"/>
      <c r="JG30" s="688"/>
      <c r="JH30" s="688"/>
      <c r="JI30" s="688"/>
      <c r="JJ30" s="688"/>
      <c r="JK30" s="688"/>
      <c r="JL30" s="688"/>
      <c r="JM30" s="688"/>
      <c r="JN30" s="688"/>
      <c r="JO30" s="688"/>
      <c r="JP30" s="688"/>
      <c r="JQ30" s="688"/>
      <c r="JR30" s="688"/>
      <c r="JS30" s="688"/>
      <c r="JT30" s="688"/>
      <c r="JU30" s="688"/>
      <c r="JV30" s="688"/>
      <c r="JW30" s="688"/>
      <c r="JX30" s="688"/>
      <c r="JY30" s="688"/>
      <c r="JZ30" s="688"/>
      <c r="KA30" s="688"/>
      <c r="KB30" s="688"/>
      <c r="KC30" s="688"/>
      <c r="KD30" s="688"/>
      <c r="KE30" s="688"/>
      <c r="KF30" s="688"/>
      <c r="KG30" s="688"/>
      <c r="KH30" s="688"/>
      <c r="KI30" s="688"/>
      <c r="KJ30" s="688"/>
      <c r="KK30" s="688"/>
      <c r="KL30" s="688"/>
      <c r="KM30" s="688"/>
      <c r="KN30" s="688"/>
      <c r="KO30" s="688"/>
      <c r="KP30" s="688"/>
      <c r="KQ30" s="688"/>
      <c r="KR30" s="688"/>
      <c r="KS30" s="688"/>
      <c r="KT30" s="688"/>
      <c r="KU30" s="688"/>
      <c r="KV30" s="688"/>
      <c r="KW30" s="688"/>
      <c r="KX30" s="688"/>
      <c r="KY30" s="688"/>
      <c r="KZ30" s="688"/>
      <c r="LA30" s="688"/>
      <c r="LB30" s="688"/>
      <c r="LC30" s="688"/>
      <c r="LD30" s="688"/>
      <c r="LE30" s="688"/>
      <c r="LF30" s="688"/>
      <c r="LG30" s="688"/>
      <c r="LH30" s="688"/>
      <c r="LI30" s="688"/>
      <c r="LJ30" s="688"/>
      <c r="LK30" s="688"/>
      <c r="LL30" s="688"/>
      <c r="LM30" s="688"/>
      <c r="LN30" s="688"/>
      <c r="LO30" s="688"/>
      <c r="LP30" s="688"/>
      <c r="LQ30" s="688"/>
      <c r="LR30" s="688"/>
      <c r="LS30" s="688"/>
      <c r="LT30" s="688"/>
      <c r="LU30" s="688"/>
      <c r="LV30" s="688"/>
      <c r="LW30" s="688"/>
      <c r="LX30" s="688"/>
      <c r="LY30" s="688"/>
      <c r="LZ30" s="688"/>
      <c r="MA30" s="688"/>
      <c r="MB30" s="688"/>
      <c r="MC30" s="688"/>
      <c r="MD30" s="688"/>
      <c r="ME30" s="688"/>
      <c r="MF30" s="688"/>
      <c r="MG30" s="688"/>
      <c r="MH30" s="688"/>
      <c r="MI30" s="688"/>
      <c r="MJ30" s="688"/>
      <c r="MK30" s="688"/>
      <c r="ML30" s="688"/>
      <c r="MM30" s="688"/>
      <c r="MN30" s="688"/>
      <c r="MO30" s="688"/>
      <c r="MP30" s="688"/>
      <c r="MQ30" s="688"/>
      <c r="MR30" s="688"/>
      <c r="MS30" s="688"/>
      <c r="MT30" s="688"/>
      <c r="MU30" s="688"/>
      <c r="MV30" s="688"/>
      <c r="MW30" s="688"/>
      <c r="MX30" s="688"/>
      <c r="MY30" s="688"/>
      <c r="MZ30" s="688"/>
      <c r="NA30" s="688"/>
      <c r="NB30" s="688"/>
      <c r="NC30" s="688"/>
      <c r="ND30" s="688"/>
      <c r="NE30" s="688"/>
      <c r="NF30" s="688"/>
      <c r="NG30" s="688"/>
      <c r="NH30" s="688"/>
      <c r="NI30" s="688"/>
      <c r="NJ30" s="688"/>
      <c r="NK30" s="688"/>
      <c r="NL30" s="688"/>
      <c r="NM30" s="688"/>
      <c r="NN30" s="688"/>
      <c r="NO30" s="688"/>
      <c r="NP30" s="688"/>
      <c r="NQ30" s="688"/>
      <c r="NR30" s="688"/>
      <c r="NS30" s="688"/>
      <c r="NT30" s="688"/>
      <c r="NU30" s="688"/>
      <c r="NV30" s="688"/>
      <c r="NW30" s="688"/>
      <c r="NX30" s="688"/>
      <c r="NY30" s="688"/>
      <c r="NZ30" s="688"/>
      <c r="OA30" s="688"/>
      <c r="OB30" s="688"/>
      <c r="OC30" s="688"/>
      <c r="OD30" s="688"/>
      <c r="OE30" s="688"/>
      <c r="OF30" s="688"/>
      <c r="OG30" s="688"/>
      <c r="OH30" s="688"/>
      <c r="OI30" s="688"/>
      <c r="OJ30" s="688"/>
      <c r="OK30" s="688"/>
      <c r="OL30" s="688"/>
      <c r="OM30" s="688"/>
      <c r="ON30" s="688"/>
      <c r="OO30" s="688"/>
      <c r="OP30" s="688"/>
      <c r="OQ30" s="688"/>
      <c r="OR30" s="688"/>
      <c r="OS30" s="688"/>
      <c r="OT30" s="688"/>
      <c r="OU30" s="688"/>
      <c r="OV30" s="688"/>
      <c r="OW30" s="688"/>
      <c r="OX30" s="688"/>
      <c r="OY30" s="688"/>
      <c r="OZ30" s="688"/>
      <c r="PA30" s="688"/>
      <c r="PB30" s="688"/>
      <c r="PC30" s="688"/>
      <c r="PD30" s="688"/>
      <c r="PE30" s="688"/>
      <c r="PF30" s="688"/>
      <c r="PG30" s="688"/>
      <c r="PH30" s="688"/>
      <c r="PI30" s="688"/>
      <c r="PJ30" s="688"/>
      <c r="PK30" s="688"/>
      <c r="PL30" s="688"/>
      <c r="PM30" s="688"/>
      <c r="PN30" s="688"/>
      <c r="PO30" s="688"/>
      <c r="PP30" s="688"/>
      <c r="PQ30" s="688"/>
      <c r="PR30" s="688"/>
      <c r="PS30" s="688"/>
      <c r="PT30" s="688"/>
      <c r="PU30" s="688"/>
      <c r="PV30" s="688"/>
      <c r="PW30" s="688"/>
      <c r="PX30" s="688"/>
      <c r="PY30" s="688"/>
      <c r="PZ30" s="688"/>
      <c r="QA30" s="688"/>
      <c r="QB30" s="688"/>
      <c r="QC30" s="688"/>
      <c r="QD30" s="688"/>
      <c r="QE30" s="688"/>
      <c r="QF30" s="688"/>
      <c r="QG30" s="688"/>
      <c r="QH30" s="688"/>
      <c r="QI30" s="688"/>
      <c r="QJ30" s="688"/>
      <c r="QK30" s="688"/>
      <c r="QL30" s="688"/>
      <c r="QM30" s="688"/>
      <c r="QN30" s="688"/>
      <c r="QO30" s="688"/>
      <c r="QP30" s="688"/>
      <c r="QQ30" s="688"/>
      <c r="QR30" s="688"/>
      <c r="QS30" s="688"/>
      <c r="QT30" s="688"/>
      <c r="QU30" s="688"/>
      <c r="QV30" s="688"/>
      <c r="QW30" s="688"/>
      <c r="QX30" s="688"/>
      <c r="QY30" s="688"/>
      <c r="QZ30" s="688"/>
      <c r="RA30" s="688"/>
      <c r="RB30" s="688"/>
      <c r="RC30" s="688"/>
      <c r="RD30" s="688"/>
      <c r="RE30" s="688"/>
      <c r="RF30" s="688"/>
      <c r="RG30" s="688"/>
      <c r="RH30" s="688"/>
      <c r="RI30" s="688"/>
      <c r="RJ30" s="688"/>
      <c r="RK30" s="688"/>
      <c r="RL30" s="688"/>
      <c r="RM30" s="688"/>
      <c r="RN30" s="688"/>
      <c r="RO30" s="688"/>
      <c r="RP30" s="688"/>
      <c r="RQ30" s="688"/>
      <c r="RR30" s="688"/>
      <c r="RS30" s="688"/>
      <c r="RT30" s="688"/>
      <c r="RU30" s="688"/>
      <c r="RV30" s="688"/>
      <c r="RW30" s="688"/>
      <c r="RX30" s="688"/>
      <c r="RY30" s="688"/>
      <c r="RZ30" s="688"/>
      <c r="SA30" s="688"/>
      <c r="SB30" s="688"/>
      <c r="SC30" s="688"/>
      <c r="SD30" s="688"/>
      <c r="SE30" s="688"/>
      <c r="SF30" s="688"/>
      <c r="SG30" s="688"/>
      <c r="SH30" s="688"/>
      <c r="SI30" s="688"/>
      <c r="SJ30" s="688"/>
      <c r="SK30" s="688"/>
      <c r="SL30" s="688"/>
      <c r="SM30" s="688"/>
      <c r="SN30" s="688"/>
      <c r="SO30" s="688"/>
      <c r="SP30" s="688"/>
      <c r="SQ30" s="688"/>
      <c r="SR30" s="688"/>
      <c r="SS30" s="688"/>
      <c r="ST30" s="688"/>
      <c r="SU30" s="688"/>
      <c r="SV30" s="688"/>
      <c r="SW30" s="688"/>
      <c r="SX30" s="688"/>
      <c r="SY30" s="688"/>
      <c r="SZ30" s="688"/>
      <c r="TA30" s="688"/>
      <c r="TB30" s="688"/>
      <c r="TC30" s="688"/>
      <c r="TD30" s="688"/>
      <c r="TE30" s="688"/>
      <c r="TF30" s="688"/>
      <c r="TG30" s="688"/>
      <c r="TH30" s="688"/>
      <c r="TI30" s="688"/>
      <c r="TJ30" s="688"/>
      <c r="TK30" s="688"/>
      <c r="TL30" s="688"/>
      <c r="TM30" s="688"/>
      <c r="TN30" s="688"/>
      <c r="TO30" s="688"/>
      <c r="TP30" s="688"/>
      <c r="TQ30" s="688"/>
      <c r="TR30" s="688"/>
      <c r="TS30" s="688"/>
      <c r="TT30" s="688"/>
      <c r="TU30" s="688"/>
      <c r="TV30" s="688"/>
      <c r="TW30" s="688"/>
      <c r="TX30" s="688"/>
      <c r="TY30" s="688"/>
      <c r="TZ30" s="688"/>
      <c r="UA30" s="688"/>
      <c r="UB30" s="688"/>
      <c r="UC30" s="688"/>
      <c r="UD30" s="688"/>
      <c r="UE30" s="688"/>
      <c r="UF30" s="688"/>
      <c r="UG30" s="688"/>
      <c r="UH30" s="688"/>
      <c r="UI30" s="688"/>
      <c r="UJ30" s="688"/>
      <c r="UK30" s="688"/>
      <c r="UL30" s="688"/>
      <c r="UM30" s="688"/>
      <c r="UN30" s="688"/>
      <c r="UO30" s="688"/>
      <c r="UP30" s="688"/>
      <c r="UQ30" s="688"/>
      <c r="UR30" s="688"/>
      <c r="US30" s="688"/>
      <c r="UT30" s="688"/>
      <c r="UU30" s="688"/>
      <c r="UV30" s="688"/>
      <c r="UW30" s="688"/>
      <c r="UX30" s="688"/>
      <c r="UY30" s="688"/>
      <c r="UZ30" s="688"/>
      <c r="VA30" s="688"/>
      <c r="VB30" s="688"/>
      <c r="VC30" s="688"/>
      <c r="VD30" s="688"/>
      <c r="VE30" s="688"/>
      <c r="VF30" s="688"/>
      <c r="VG30" s="688"/>
      <c r="VH30" s="688"/>
      <c r="VI30" s="688"/>
      <c r="VJ30" s="688"/>
      <c r="VK30" s="688"/>
      <c r="VL30" s="688"/>
      <c r="VM30" s="688"/>
      <c r="VN30" s="688"/>
      <c r="VO30" s="688"/>
      <c r="VP30" s="688"/>
      <c r="VQ30" s="688"/>
      <c r="VR30" s="688"/>
      <c r="VS30" s="688"/>
      <c r="VT30" s="688"/>
      <c r="VU30" s="688"/>
      <c r="VV30" s="688"/>
      <c r="VW30" s="688"/>
      <c r="VX30" s="688"/>
      <c r="VY30" s="688"/>
      <c r="VZ30" s="688"/>
      <c r="WA30" s="688"/>
      <c r="WB30" s="688"/>
      <c r="WC30" s="688"/>
      <c r="WD30" s="688"/>
      <c r="WE30" s="688"/>
      <c r="WF30" s="688"/>
      <c r="WG30" s="688"/>
      <c r="WH30" s="688"/>
      <c r="WI30" s="688"/>
      <c r="WJ30" s="688"/>
      <c r="WK30" s="688"/>
      <c r="WL30" s="688"/>
      <c r="WM30" s="688"/>
      <c r="WN30" s="688"/>
      <c r="WO30" s="688"/>
      <c r="WP30" s="688"/>
      <c r="WQ30" s="688"/>
      <c r="WR30" s="688"/>
      <c r="WS30" s="688"/>
      <c r="WT30" s="688"/>
      <c r="WU30" s="688"/>
      <c r="WV30" s="688"/>
      <c r="WW30" s="688"/>
      <c r="WX30" s="688"/>
      <c r="WY30" s="688"/>
      <c r="WZ30" s="688"/>
      <c r="XA30" s="688"/>
      <c r="XB30" s="688"/>
      <c r="XC30" s="688"/>
      <c r="XD30" s="688"/>
      <c r="XE30" s="688"/>
      <c r="XF30" s="688"/>
      <c r="XG30" s="688"/>
      <c r="XH30" s="688"/>
      <c r="XI30" s="688"/>
      <c r="XJ30" s="688"/>
      <c r="XK30" s="688"/>
      <c r="XL30" s="688"/>
      <c r="XM30" s="688"/>
      <c r="XN30" s="688"/>
      <c r="XO30" s="688"/>
      <c r="XP30" s="688"/>
      <c r="XQ30" s="688"/>
      <c r="XR30" s="688"/>
      <c r="XS30" s="688"/>
      <c r="XT30" s="688"/>
      <c r="XU30" s="688"/>
      <c r="XV30" s="688"/>
      <c r="XW30" s="688"/>
      <c r="XX30" s="688"/>
      <c r="XY30" s="688"/>
      <c r="XZ30" s="688"/>
      <c r="YA30" s="688"/>
      <c r="YB30" s="688"/>
      <c r="YC30" s="688"/>
      <c r="YD30" s="688"/>
      <c r="YE30" s="688"/>
      <c r="YF30" s="688"/>
      <c r="YG30" s="688"/>
      <c r="YH30" s="688"/>
      <c r="YI30" s="688"/>
      <c r="YJ30" s="688"/>
      <c r="YK30" s="688"/>
      <c r="YL30" s="688"/>
      <c r="YM30" s="688"/>
      <c r="YN30" s="688"/>
      <c r="YO30" s="688"/>
      <c r="YP30" s="688"/>
      <c r="YQ30" s="688"/>
      <c r="YR30" s="688"/>
      <c r="YS30" s="688"/>
      <c r="YT30" s="688"/>
      <c r="YU30" s="688"/>
      <c r="YV30" s="688"/>
      <c r="YW30" s="688"/>
      <c r="YX30" s="688"/>
      <c r="YY30" s="688"/>
      <c r="YZ30" s="688"/>
      <c r="ZA30" s="688"/>
      <c r="ZB30" s="688"/>
      <c r="ZC30" s="688"/>
      <c r="ZD30" s="688"/>
      <c r="ZE30" s="688"/>
      <c r="ZF30" s="688"/>
      <c r="ZG30" s="688"/>
      <c r="ZH30" s="688"/>
      <c r="ZI30" s="688"/>
      <c r="ZJ30" s="688"/>
      <c r="ZK30" s="688"/>
      <c r="ZL30" s="688"/>
      <c r="ZM30" s="688"/>
      <c r="ZN30" s="688"/>
      <c r="ZO30" s="688"/>
      <c r="ZP30" s="688"/>
      <c r="ZQ30" s="688"/>
      <c r="ZR30" s="688"/>
      <c r="ZS30" s="688"/>
      <c r="ZT30" s="688"/>
      <c r="ZU30" s="688"/>
      <c r="ZV30" s="688"/>
      <c r="ZW30" s="688"/>
      <c r="ZX30" s="688"/>
      <c r="ZY30" s="688"/>
      <c r="ZZ30" s="688"/>
      <c r="AAA30" s="688"/>
      <c r="AAB30" s="688"/>
      <c r="AAC30" s="688"/>
      <c r="AAD30" s="688"/>
      <c r="AAE30" s="688"/>
      <c r="AAF30" s="688"/>
      <c r="AAG30" s="688"/>
      <c r="AAH30" s="688"/>
      <c r="AAI30" s="688"/>
      <c r="AAJ30" s="688"/>
      <c r="AAK30" s="688"/>
      <c r="AAL30" s="688"/>
      <c r="AAM30" s="688"/>
      <c r="AAN30" s="688"/>
      <c r="AAO30" s="688"/>
      <c r="AAP30" s="688"/>
      <c r="AAQ30" s="688"/>
      <c r="AAR30" s="688"/>
      <c r="AAS30" s="688"/>
      <c r="AAT30" s="688"/>
      <c r="AAU30" s="688"/>
      <c r="AAV30" s="688"/>
      <c r="AAW30" s="688"/>
      <c r="AAX30" s="688"/>
      <c r="AAY30" s="688"/>
      <c r="AAZ30" s="688"/>
      <c r="ABA30" s="688"/>
      <c r="ABB30" s="688"/>
      <c r="ABC30" s="688"/>
      <c r="ABD30" s="688"/>
      <c r="ABE30" s="688"/>
      <c r="ABF30" s="688"/>
      <c r="ABG30" s="688"/>
      <c r="ABH30" s="688"/>
      <c r="ABI30" s="688"/>
      <c r="ABJ30" s="688"/>
      <c r="ABK30" s="688"/>
      <c r="ABL30" s="688"/>
      <c r="ABM30" s="688"/>
      <c r="ABN30" s="688"/>
      <c r="ABO30" s="688"/>
      <c r="ABP30" s="688"/>
      <c r="ABQ30" s="688"/>
      <c r="ABR30" s="688"/>
      <c r="ABS30" s="688"/>
      <c r="ABT30" s="688"/>
      <c r="ABU30" s="688"/>
      <c r="ABV30" s="688"/>
      <c r="ABW30" s="688"/>
      <c r="ABX30" s="688"/>
      <c r="ABY30" s="688"/>
      <c r="ABZ30" s="688"/>
      <c r="ACA30" s="688"/>
      <c r="ACB30" s="688"/>
      <c r="ACC30" s="688"/>
      <c r="ACD30" s="688"/>
      <c r="ACE30" s="688"/>
      <c r="ACF30" s="688"/>
      <c r="ACG30" s="688"/>
      <c r="ACH30" s="688"/>
      <c r="ACI30" s="688"/>
      <c r="ACJ30" s="688"/>
      <c r="ACK30" s="688"/>
      <c r="ACL30" s="688"/>
      <c r="ACM30" s="688"/>
      <c r="ACN30" s="688"/>
      <c r="ACO30" s="688"/>
      <c r="ACP30" s="688"/>
      <c r="ACQ30" s="688"/>
      <c r="ACR30" s="688"/>
      <c r="ACS30" s="688"/>
      <c r="ACT30" s="688"/>
      <c r="ACU30" s="688"/>
      <c r="ACV30" s="688"/>
      <c r="ACW30" s="688"/>
      <c r="ACX30" s="688"/>
      <c r="ACY30" s="688"/>
      <c r="ACZ30" s="688"/>
      <c r="ADA30" s="688"/>
      <c r="ADB30" s="688"/>
      <c r="ADC30" s="688"/>
      <c r="ADD30" s="688"/>
      <c r="ADE30" s="688"/>
      <c r="ADF30" s="688"/>
      <c r="ADG30" s="688"/>
      <c r="ADH30" s="688"/>
      <c r="ADI30" s="688"/>
      <c r="ADJ30" s="688"/>
      <c r="ADK30" s="688"/>
      <c r="ADL30" s="688"/>
      <c r="ADM30" s="688"/>
      <c r="ADN30" s="688"/>
      <c r="ADO30" s="688"/>
      <c r="ADP30" s="688"/>
      <c r="ADQ30" s="688"/>
      <c r="ADR30" s="688"/>
      <c r="ADS30" s="688"/>
      <c r="ADT30" s="688"/>
      <c r="ADU30" s="688"/>
      <c r="ADV30" s="688"/>
      <c r="ADW30" s="688"/>
      <c r="ADX30" s="688"/>
      <c r="ADY30" s="688"/>
      <c r="ADZ30" s="688"/>
      <c r="AEA30" s="688"/>
      <c r="AEB30" s="688"/>
      <c r="AEC30" s="688"/>
      <c r="AED30" s="688"/>
      <c r="AEE30" s="688"/>
      <c r="AEF30" s="688"/>
      <c r="AEG30" s="688"/>
      <c r="AEH30" s="688"/>
      <c r="AEI30" s="688"/>
      <c r="AEJ30" s="688"/>
      <c r="AEK30" s="688"/>
      <c r="AEL30" s="688"/>
      <c r="AEM30" s="688"/>
      <c r="AEN30" s="688"/>
      <c r="AEO30" s="688"/>
      <c r="AEP30" s="688"/>
      <c r="AEQ30" s="688"/>
      <c r="AER30" s="688"/>
      <c r="AES30" s="688"/>
      <c r="AET30" s="688"/>
      <c r="AEU30" s="688"/>
      <c r="AEV30" s="688"/>
      <c r="AEW30" s="688"/>
      <c r="AEX30" s="688"/>
      <c r="AEY30" s="688"/>
      <c r="AEZ30" s="688"/>
      <c r="AFA30" s="688"/>
      <c r="AFB30" s="688"/>
      <c r="AFC30" s="688"/>
      <c r="AFD30" s="688"/>
      <c r="AFE30" s="688"/>
      <c r="AFF30" s="688"/>
      <c r="AFG30" s="688"/>
      <c r="AFH30" s="688"/>
      <c r="AFI30" s="688"/>
      <c r="AFJ30" s="688"/>
      <c r="AFK30" s="688"/>
      <c r="AFL30" s="688"/>
      <c r="AFM30" s="688"/>
      <c r="AFN30" s="688"/>
      <c r="AFO30" s="688"/>
      <c r="AFP30" s="688"/>
      <c r="AFQ30" s="688"/>
      <c r="AFR30" s="688"/>
      <c r="AFS30" s="688"/>
      <c r="AFT30" s="688"/>
      <c r="AFU30" s="688"/>
      <c r="AFV30" s="688"/>
      <c r="AFW30" s="688"/>
      <c r="AFX30" s="688"/>
      <c r="AFY30" s="688"/>
      <c r="AFZ30" s="688"/>
      <c r="AGA30" s="688"/>
      <c r="AGB30" s="688"/>
      <c r="AGC30" s="688"/>
      <c r="AGD30" s="688"/>
      <c r="AGE30" s="688"/>
      <c r="AGF30" s="688"/>
      <c r="AGG30" s="688"/>
      <c r="AGH30" s="688"/>
      <c r="AGI30" s="688"/>
      <c r="AGJ30" s="688"/>
      <c r="AGK30" s="688"/>
      <c r="AGL30" s="688"/>
      <c r="AGM30" s="688"/>
      <c r="AGN30" s="688"/>
      <c r="AGO30" s="688"/>
      <c r="AGP30" s="688"/>
      <c r="AGQ30" s="688"/>
      <c r="AGR30" s="688"/>
      <c r="AGS30" s="688"/>
      <c r="AGT30" s="688"/>
      <c r="AGU30" s="688"/>
      <c r="AGV30" s="688"/>
      <c r="AGW30" s="688"/>
      <c r="AGX30" s="688"/>
      <c r="AGY30" s="688"/>
      <c r="AGZ30" s="688"/>
      <c r="AHA30" s="688"/>
      <c r="AHB30" s="688"/>
      <c r="AHC30" s="688"/>
      <c r="AHD30" s="688"/>
      <c r="AHE30" s="688"/>
      <c r="AHF30" s="688"/>
      <c r="AHG30" s="688"/>
      <c r="AHH30" s="688"/>
      <c r="AHI30" s="688"/>
      <c r="AHJ30" s="688"/>
      <c r="AHK30" s="688"/>
      <c r="AHL30" s="688"/>
      <c r="AHM30" s="688"/>
      <c r="AHN30" s="688"/>
      <c r="AHO30" s="688"/>
      <c r="AHP30" s="688"/>
      <c r="AHQ30" s="688"/>
      <c r="AHR30" s="688"/>
      <c r="AHS30" s="688"/>
      <c r="AHT30" s="688"/>
      <c r="AHU30" s="688"/>
      <c r="AHV30" s="688"/>
      <c r="AHW30" s="688"/>
      <c r="AHX30" s="688"/>
      <c r="AHY30" s="688"/>
      <c r="AHZ30" s="688"/>
      <c r="AIA30" s="688"/>
      <c r="AIB30" s="688"/>
      <c r="AIC30" s="688"/>
      <c r="AID30" s="688"/>
      <c r="AIE30" s="688"/>
      <c r="AIF30" s="688"/>
      <c r="AIG30" s="688"/>
      <c r="AIH30" s="688"/>
      <c r="AII30" s="688"/>
      <c r="AIJ30" s="688"/>
      <c r="AIK30" s="688"/>
      <c r="AIL30" s="688"/>
      <c r="AIM30" s="688"/>
      <c r="AIN30" s="688"/>
      <c r="AIO30" s="688"/>
      <c r="AIP30" s="688"/>
      <c r="AIQ30" s="688"/>
      <c r="AIR30" s="688"/>
      <c r="AIS30" s="688"/>
      <c r="AIT30" s="688"/>
      <c r="AIU30" s="688"/>
      <c r="AIV30" s="688"/>
      <c r="AIW30" s="688"/>
      <c r="AIX30" s="688"/>
      <c r="AIY30" s="688"/>
      <c r="AIZ30" s="688"/>
      <c r="AJA30" s="688"/>
      <c r="AJB30" s="688"/>
      <c r="AJC30" s="688"/>
      <c r="AJD30" s="688"/>
      <c r="AJE30" s="688"/>
      <c r="AJF30" s="688"/>
      <c r="AJG30" s="688"/>
      <c r="AJH30" s="688"/>
      <c r="AJI30" s="688"/>
      <c r="AJJ30" s="688"/>
      <c r="AJK30" s="688"/>
      <c r="AJL30" s="688"/>
      <c r="AJM30" s="688"/>
      <c r="AJN30" s="688"/>
      <c r="AJO30" s="688"/>
      <c r="AJP30" s="688"/>
      <c r="AJQ30" s="688"/>
      <c r="AJR30" s="688"/>
      <c r="AJS30" s="688"/>
      <c r="AJT30" s="688"/>
      <c r="AJU30" s="688"/>
      <c r="AJV30" s="688"/>
      <c r="AJW30" s="688"/>
      <c r="AJX30" s="688"/>
      <c r="AJY30" s="688"/>
      <c r="AJZ30" s="688"/>
      <c r="AKA30" s="688"/>
      <c r="AKB30" s="688"/>
      <c r="AKC30" s="688"/>
      <c r="AKD30" s="688"/>
      <c r="AKE30" s="688"/>
      <c r="AKF30" s="688"/>
      <c r="AKG30" s="688"/>
      <c r="AKH30" s="688"/>
      <c r="AKI30" s="688"/>
      <c r="AKJ30" s="688"/>
      <c r="AKK30" s="688"/>
      <c r="AKL30" s="688"/>
      <c r="AKM30" s="688"/>
      <c r="AKN30" s="688"/>
      <c r="AKO30" s="688"/>
      <c r="AKP30" s="688"/>
      <c r="AKQ30" s="688"/>
      <c r="AKR30" s="688"/>
      <c r="AKS30" s="688"/>
      <c r="AKT30" s="688"/>
      <c r="AKU30" s="688"/>
      <c r="AKV30" s="688"/>
      <c r="AKW30" s="688"/>
      <c r="AKX30" s="688"/>
      <c r="AKY30" s="688"/>
      <c r="AKZ30" s="688"/>
      <c r="ALA30" s="688"/>
      <c r="ALB30" s="688"/>
      <c r="ALC30" s="688"/>
      <c r="ALD30" s="688"/>
      <c r="ALE30" s="688"/>
      <c r="ALF30" s="688"/>
      <c r="ALG30" s="688"/>
      <c r="ALH30" s="688"/>
      <c r="ALI30" s="688"/>
      <c r="ALJ30" s="688"/>
      <c r="ALK30" s="688"/>
      <c r="ALL30" s="688"/>
      <c r="ALM30" s="688"/>
      <c r="ALN30" s="688"/>
      <c r="ALO30" s="688"/>
      <c r="ALP30" s="688"/>
      <c r="ALQ30" s="688"/>
      <c r="ALR30" s="688"/>
      <c r="ALS30" s="688"/>
      <c r="ALT30" s="688"/>
      <c r="ALU30" s="688"/>
      <c r="ALV30" s="688"/>
      <c r="ALW30" s="688"/>
      <c r="ALX30" s="688"/>
      <c r="ALY30" s="688"/>
      <c r="ALZ30" s="688"/>
      <c r="AMA30" s="688"/>
      <c r="AMB30" s="688"/>
      <c r="AMC30" s="688"/>
      <c r="AMD30" s="688"/>
      <c r="AME30" s="688"/>
      <c r="AMF30" s="688"/>
      <c r="AMG30" s="688"/>
      <c r="AMH30" s="688"/>
      <c r="AMI30" s="688"/>
      <c r="AMJ30" s="688"/>
    </row>
    <row r="31" spans="1:1024" s="697" customFormat="1" ht="49.5" customHeight="1">
      <c r="A31" s="696"/>
      <c r="B31" s="1650" t="s">
        <v>699</v>
      </c>
      <c r="C31" s="1650"/>
      <c r="D31" s="1650"/>
      <c r="E31" s="1650"/>
      <c r="F31" s="1650"/>
      <c r="P31" s="689"/>
      <c r="Q31" s="690"/>
    </row>
    <row r="32" spans="1:1024" ht="42.75" customHeight="1">
      <c r="A32" s="696"/>
      <c r="B32" s="698"/>
      <c r="C32" s="699" t="s">
        <v>700</v>
      </c>
      <c r="D32" s="1651" t="e">
        <f>#REF!</f>
        <v>#REF!</v>
      </c>
      <c r="E32" s="1651"/>
      <c r="F32" s="1651"/>
      <c r="G32" s="688"/>
      <c r="H32" s="688"/>
      <c r="I32" s="688"/>
      <c r="J32" s="688"/>
      <c r="K32" s="688"/>
      <c r="L32" s="688"/>
      <c r="M32" s="688"/>
      <c r="N32" s="688"/>
      <c r="O32" s="688"/>
      <c r="P32" s="688"/>
      <c r="Q32" s="688"/>
      <c r="R32" s="688"/>
      <c r="S32" s="688"/>
      <c r="T32" s="688"/>
      <c r="U32" s="688"/>
      <c r="V32" s="688"/>
      <c r="W32" s="688"/>
      <c r="X32" s="688"/>
      <c r="Y32" s="688"/>
      <c r="Z32" s="688"/>
      <c r="AA32" s="688"/>
      <c r="AB32" s="688"/>
      <c r="AC32" s="688"/>
      <c r="AD32" s="688"/>
      <c r="AE32" s="688"/>
      <c r="AF32" s="688"/>
      <c r="AG32" s="688"/>
      <c r="AH32" s="688"/>
      <c r="AI32" s="688"/>
      <c r="AJ32" s="688"/>
      <c r="AK32" s="688"/>
      <c r="AL32" s="688"/>
      <c r="AM32" s="688"/>
      <c r="AN32" s="688"/>
      <c r="AO32" s="688"/>
      <c r="AP32" s="688"/>
      <c r="AQ32" s="688"/>
      <c r="AR32" s="688"/>
      <c r="AS32" s="688"/>
      <c r="AT32" s="688"/>
      <c r="AU32" s="688"/>
      <c r="AV32" s="688"/>
      <c r="AW32" s="688"/>
      <c r="AX32" s="688"/>
      <c r="AY32" s="688"/>
      <c r="AZ32" s="688"/>
      <c r="BA32" s="688"/>
      <c r="BB32" s="688"/>
      <c r="BC32" s="688"/>
      <c r="BD32" s="688"/>
      <c r="BE32" s="688"/>
      <c r="BF32" s="688"/>
      <c r="BG32" s="688"/>
      <c r="BH32" s="688"/>
      <c r="BI32" s="688"/>
      <c r="BJ32" s="688"/>
      <c r="BK32" s="688"/>
      <c r="BL32" s="688"/>
      <c r="BM32" s="688"/>
      <c r="BN32" s="688"/>
      <c r="BO32" s="688"/>
      <c r="BP32" s="688"/>
      <c r="BQ32" s="688"/>
      <c r="BR32" s="688"/>
      <c r="BS32" s="688"/>
      <c r="BT32" s="688"/>
      <c r="BU32" s="688"/>
      <c r="BV32" s="688"/>
      <c r="BW32" s="688"/>
      <c r="BX32" s="688"/>
      <c r="BY32" s="688"/>
      <c r="BZ32" s="688"/>
      <c r="CA32" s="688"/>
      <c r="CB32" s="688"/>
      <c r="CC32" s="688"/>
      <c r="CD32" s="688"/>
      <c r="CE32" s="688"/>
      <c r="CF32" s="688"/>
      <c r="CG32" s="688"/>
      <c r="CH32" s="688"/>
      <c r="CI32" s="688"/>
      <c r="CJ32" s="688"/>
      <c r="CK32" s="688"/>
      <c r="CL32" s="688"/>
      <c r="CM32" s="688"/>
      <c r="CN32" s="688"/>
      <c r="CO32" s="688"/>
      <c r="CP32" s="688"/>
      <c r="CQ32" s="688"/>
      <c r="CR32" s="688"/>
      <c r="CS32" s="688"/>
      <c r="CT32" s="688"/>
      <c r="CU32" s="688"/>
      <c r="CV32" s="688"/>
      <c r="CW32" s="688"/>
      <c r="CX32" s="688"/>
      <c r="CY32" s="688"/>
      <c r="CZ32" s="688"/>
      <c r="DA32" s="688"/>
      <c r="DB32" s="688"/>
      <c r="DC32" s="688"/>
      <c r="DD32" s="688"/>
      <c r="DE32" s="688"/>
      <c r="DF32" s="688"/>
      <c r="DG32" s="688"/>
      <c r="DH32" s="688"/>
      <c r="DI32" s="688"/>
      <c r="DJ32" s="688"/>
      <c r="DK32" s="688"/>
      <c r="DL32" s="688"/>
      <c r="DM32" s="688"/>
      <c r="DN32" s="688"/>
      <c r="DO32" s="688"/>
      <c r="DP32" s="688"/>
      <c r="DQ32" s="688"/>
      <c r="DR32" s="688"/>
      <c r="DS32" s="688"/>
      <c r="DT32" s="688"/>
      <c r="DU32" s="688"/>
      <c r="DV32" s="688"/>
      <c r="DW32" s="688"/>
      <c r="DX32" s="688"/>
      <c r="DY32" s="688"/>
      <c r="DZ32" s="688"/>
      <c r="EA32" s="688"/>
      <c r="EB32" s="688"/>
      <c r="EC32" s="688"/>
      <c r="ED32" s="688"/>
      <c r="EE32" s="688"/>
      <c r="EF32" s="688"/>
      <c r="EG32" s="688"/>
      <c r="EH32" s="688"/>
      <c r="EI32" s="688"/>
      <c r="EJ32" s="688"/>
      <c r="EK32" s="688"/>
      <c r="EL32" s="688"/>
      <c r="EM32" s="688"/>
      <c r="EN32" s="688"/>
      <c r="EO32" s="688"/>
      <c r="EP32" s="688"/>
      <c r="EQ32" s="688"/>
      <c r="ER32" s="688"/>
      <c r="ES32" s="688"/>
      <c r="ET32" s="688"/>
      <c r="EU32" s="688"/>
      <c r="EV32" s="688"/>
      <c r="EW32" s="688"/>
      <c r="EX32" s="688"/>
      <c r="EY32" s="688"/>
      <c r="EZ32" s="688"/>
      <c r="FA32" s="688"/>
      <c r="FB32" s="688"/>
      <c r="FC32" s="688"/>
      <c r="FD32" s="688"/>
      <c r="FE32" s="688"/>
      <c r="FF32" s="688"/>
      <c r="FG32" s="688"/>
      <c r="FH32" s="688"/>
      <c r="FI32" s="688"/>
      <c r="FJ32" s="688"/>
      <c r="FK32" s="688"/>
      <c r="FL32" s="688"/>
      <c r="FM32" s="688"/>
      <c r="FN32" s="688"/>
      <c r="FO32" s="688"/>
      <c r="FP32" s="688"/>
      <c r="FQ32" s="688"/>
      <c r="FR32" s="688"/>
      <c r="FS32" s="688"/>
      <c r="FT32" s="688"/>
      <c r="FU32" s="688"/>
      <c r="FV32" s="688"/>
      <c r="FW32" s="688"/>
      <c r="FX32" s="688"/>
      <c r="FY32" s="688"/>
      <c r="FZ32" s="688"/>
      <c r="GA32" s="688"/>
      <c r="GB32" s="688"/>
      <c r="GC32" s="688"/>
      <c r="GD32" s="688"/>
      <c r="GE32" s="688"/>
      <c r="GF32" s="688"/>
      <c r="GG32" s="688"/>
      <c r="GH32" s="688"/>
      <c r="GI32" s="688"/>
      <c r="GJ32" s="688"/>
      <c r="GK32" s="688"/>
      <c r="GL32" s="688"/>
      <c r="GM32" s="688"/>
      <c r="GN32" s="688"/>
      <c r="GO32" s="688"/>
      <c r="GP32" s="688"/>
      <c r="GQ32" s="688"/>
      <c r="GR32" s="688"/>
      <c r="GS32" s="688"/>
      <c r="GT32" s="688"/>
      <c r="GU32" s="688"/>
      <c r="GV32" s="688"/>
      <c r="GW32" s="688"/>
      <c r="GX32" s="688"/>
      <c r="GY32" s="688"/>
      <c r="GZ32" s="688"/>
      <c r="HA32" s="688"/>
      <c r="HB32" s="688"/>
      <c r="HC32" s="688"/>
      <c r="HD32" s="688"/>
      <c r="HE32" s="688"/>
      <c r="HF32" s="688"/>
      <c r="HG32" s="688"/>
      <c r="HH32" s="688"/>
      <c r="HI32" s="688"/>
      <c r="HJ32" s="688"/>
      <c r="HK32" s="688"/>
      <c r="HL32" s="688"/>
      <c r="HM32" s="688"/>
      <c r="HN32" s="688"/>
      <c r="HO32" s="688"/>
      <c r="HP32" s="688"/>
      <c r="HQ32" s="688"/>
      <c r="HR32" s="688"/>
      <c r="HS32" s="688"/>
      <c r="HT32" s="688"/>
      <c r="HU32" s="688"/>
      <c r="HV32" s="688"/>
      <c r="HW32" s="688"/>
      <c r="HX32" s="688"/>
      <c r="HY32" s="688"/>
      <c r="HZ32" s="688"/>
      <c r="IA32" s="688"/>
      <c r="IB32" s="688"/>
      <c r="IC32" s="688"/>
      <c r="ID32" s="688"/>
      <c r="IE32" s="688"/>
      <c r="IF32" s="688"/>
      <c r="IG32" s="688"/>
      <c r="IH32" s="688"/>
      <c r="II32" s="688"/>
      <c r="IJ32" s="688"/>
      <c r="IK32" s="688"/>
      <c r="IL32" s="688"/>
      <c r="IM32" s="688"/>
      <c r="IN32" s="688"/>
      <c r="IO32" s="688"/>
      <c r="IP32" s="688"/>
      <c r="IQ32" s="688"/>
      <c r="IR32" s="688"/>
      <c r="IS32" s="688"/>
      <c r="IT32" s="688"/>
      <c r="IU32" s="688"/>
      <c r="IV32" s="688"/>
      <c r="IW32" s="688"/>
      <c r="IX32" s="688"/>
      <c r="IY32" s="688"/>
      <c r="IZ32" s="688"/>
      <c r="JA32" s="688"/>
      <c r="JB32" s="688"/>
      <c r="JC32" s="688"/>
      <c r="JD32" s="688"/>
      <c r="JE32" s="688"/>
      <c r="JF32" s="688"/>
      <c r="JG32" s="688"/>
      <c r="JH32" s="688"/>
      <c r="JI32" s="688"/>
      <c r="JJ32" s="688"/>
      <c r="JK32" s="688"/>
      <c r="JL32" s="688"/>
      <c r="JM32" s="688"/>
      <c r="JN32" s="688"/>
      <c r="JO32" s="688"/>
      <c r="JP32" s="688"/>
      <c r="JQ32" s="688"/>
      <c r="JR32" s="688"/>
      <c r="JS32" s="688"/>
      <c r="JT32" s="688"/>
      <c r="JU32" s="688"/>
      <c r="JV32" s="688"/>
      <c r="JW32" s="688"/>
      <c r="JX32" s="688"/>
      <c r="JY32" s="688"/>
      <c r="JZ32" s="688"/>
      <c r="KA32" s="688"/>
      <c r="KB32" s="688"/>
      <c r="KC32" s="688"/>
      <c r="KD32" s="688"/>
      <c r="KE32" s="688"/>
      <c r="KF32" s="688"/>
      <c r="KG32" s="688"/>
      <c r="KH32" s="688"/>
      <c r="KI32" s="688"/>
      <c r="KJ32" s="688"/>
      <c r="KK32" s="688"/>
      <c r="KL32" s="688"/>
      <c r="KM32" s="688"/>
      <c r="KN32" s="688"/>
      <c r="KO32" s="688"/>
      <c r="KP32" s="688"/>
      <c r="KQ32" s="688"/>
      <c r="KR32" s="688"/>
      <c r="KS32" s="688"/>
      <c r="KT32" s="688"/>
      <c r="KU32" s="688"/>
      <c r="KV32" s="688"/>
      <c r="KW32" s="688"/>
      <c r="KX32" s="688"/>
      <c r="KY32" s="688"/>
      <c r="KZ32" s="688"/>
      <c r="LA32" s="688"/>
      <c r="LB32" s="688"/>
      <c r="LC32" s="688"/>
      <c r="LD32" s="688"/>
      <c r="LE32" s="688"/>
      <c r="LF32" s="688"/>
      <c r="LG32" s="688"/>
      <c r="LH32" s="688"/>
      <c r="LI32" s="688"/>
      <c r="LJ32" s="688"/>
      <c r="LK32" s="688"/>
      <c r="LL32" s="688"/>
      <c r="LM32" s="688"/>
      <c r="LN32" s="688"/>
      <c r="LO32" s="688"/>
      <c r="LP32" s="688"/>
      <c r="LQ32" s="688"/>
      <c r="LR32" s="688"/>
      <c r="LS32" s="688"/>
      <c r="LT32" s="688"/>
      <c r="LU32" s="688"/>
      <c r="LV32" s="688"/>
      <c r="LW32" s="688"/>
      <c r="LX32" s="688"/>
      <c r="LY32" s="688"/>
      <c r="LZ32" s="688"/>
      <c r="MA32" s="688"/>
      <c r="MB32" s="688"/>
      <c r="MC32" s="688"/>
      <c r="MD32" s="688"/>
      <c r="ME32" s="688"/>
      <c r="MF32" s="688"/>
      <c r="MG32" s="688"/>
      <c r="MH32" s="688"/>
      <c r="MI32" s="688"/>
      <c r="MJ32" s="688"/>
      <c r="MK32" s="688"/>
      <c r="ML32" s="688"/>
      <c r="MM32" s="688"/>
      <c r="MN32" s="688"/>
      <c r="MO32" s="688"/>
      <c r="MP32" s="688"/>
      <c r="MQ32" s="688"/>
      <c r="MR32" s="688"/>
      <c r="MS32" s="688"/>
      <c r="MT32" s="688"/>
      <c r="MU32" s="688"/>
      <c r="MV32" s="688"/>
      <c r="MW32" s="688"/>
      <c r="MX32" s="688"/>
      <c r="MY32" s="688"/>
      <c r="MZ32" s="688"/>
      <c r="NA32" s="688"/>
      <c r="NB32" s="688"/>
      <c r="NC32" s="688"/>
      <c r="ND32" s="688"/>
      <c r="NE32" s="688"/>
      <c r="NF32" s="688"/>
      <c r="NG32" s="688"/>
      <c r="NH32" s="688"/>
      <c r="NI32" s="688"/>
      <c r="NJ32" s="688"/>
      <c r="NK32" s="688"/>
      <c r="NL32" s="688"/>
      <c r="NM32" s="688"/>
      <c r="NN32" s="688"/>
      <c r="NO32" s="688"/>
      <c r="NP32" s="688"/>
      <c r="NQ32" s="688"/>
      <c r="NR32" s="688"/>
      <c r="NS32" s="688"/>
      <c r="NT32" s="688"/>
      <c r="NU32" s="688"/>
      <c r="NV32" s="688"/>
      <c r="NW32" s="688"/>
      <c r="NX32" s="688"/>
      <c r="NY32" s="688"/>
      <c r="NZ32" s="688"/>
      <c r="OA32" s="688"/>
      <c r="OB32" s="688"/>
      <c r="OC32" s="688"/>
      <c r="OD32" s="688"/>
      <c r="OE32" s="688"/>
      <c r="OF32" s="688"/>
      <c r="OG32" s="688"/>
      <c r="OH32" s="688"/>
      <c r="OI32" s="688"/>
      <c r="OJ32" s="688"/>
      <c r="OK32" s="688"/>
      <c r="OL32" s="688"/>
      <c r="OM32" s="688"/>
      <c r="ON32" s="688"/>
      <c r="OO32" s="688"/>
      <c r="OP32" s="688"/>
      <c r="OQ32" s="688"/>
      <c r="OR32" s="688"/>
      <c r="OS32" s="688"/>
      <c r="OT32" s="688"/>
      <c r="OU32" s="688"/>
      <c r="OV32" s="688"/>
      <c r="OW32" s="688"/>
      <c r="OX32" s="688"/>
      <c r="OY32" s="688"/>
      <c r="OZ32" s="688"/>
      <c r="PA32" s="688"/>
      <c r="PB32" s="688"/>
      <c r="PC32" s="688"/>
      <c r="PD32" s="688"/>
      <c r="PE32" s="688"/>
      <c r="PF32" s="688"/>
      <c r="PG32" s="688"/>
      <c r="PH32" s="688"/>
      <c r="PI32" s="688"/>
      <c r="PJ32" s="688"/>
      <c r="PK32" s="688"/>
      <c r="PL32" s="688"/>
      <c r="PM32" s="688"/>
      <c r="PN32" s="688"/>
      <c r="PO32" s="688"/>
      <c r="PP32" s="688"/>
      <c r="PQ32" s="688"/>
      <c r="PR32" s="688"/>
      <c r="PS32" s="688"/>
      <c r="PT32" s="688"/>
      <c r="PU32" s="688"/>
      <c r="PV32" s="688"/>
      <c r="PW32" s="688"/>
      <c r="PX32" s="688"/>
      <c r="PY32" s="688"/>
      <c r="PZ32" s="688"/>
      <c r="QA32" s="688"/>
      <c r="QB32" s="688"/>
      <c r="QC32" s="688"/>
      <c r="QD32" s="688"/>
      <c r="QE32" s="688"/>
      <c r="QF32" s="688"/>
      <c r="QG32" s="688"/>
      <c r="QH32" s="688"/>
      <c r="QI32" s="688"/>
      <c r="QJ32" s="688"/>
      <c r="QK32" s="688"/>
      <c r="QL32" s="688"/>
      <c r="QM32" s="688"/>
      <c r="QN32" s="688"/>
      <c r="QO32" s="688"/>
      <c r="QP32" s="688"/>
      <c r="QQ32" s="688"/>
      <c r="QR32" s="688"/>
      <c r="QS32" s="688"/>
      <c r="QT32" s="688"/>
      <c r="QU32" s="688"/>
      <c r="QV32" s="688"/>
      <c r="QW32" s="688"/>
      <c r="QX32" s="688"/>
      <c r="QY32" s="688"/>
      <c r="QZ32" s="688"/>
      <c r="RA32" s="688"/>
      <c r="RB32" s="688"/>
      <c r="RC32" s="688"/>
      <c r="RD32" s="688"/>
      <c r="RE32" s="688"/>
      <c r="RF32" s="688"/>
      <c r="RG32" s="688"/>
      <c r="RH32" s="688"/>
      <c r="RI32" s="688"/>
      <c r="RJ32" s="688"/>
      <c r="RK32" s="688"/>
      <c r="RL32" s="688"/>
      <c r="RM32" s="688"/>
      <c r="RN32" s="688"/>
      <c r="RO32" s="688"/>
      <c r="RP32" s="688"/>
      <c r="RQ32" s="688"/>
      <c r="RR32" s="688"/>
      <c r="RS32" s="688"/>
      <c r="RT32" s="688"/>
      <c r="RU32" s="688"/>
      <c r="RV32" s="688"/>
      <c r="RW32" s="688"/>
      <c r="RX32" s="688"/>
      <c r="RY32" s="688"/>
      <c r="RZ32" s="688"/>
      <c r="SA32" s="688"/>
      <c r="SB32" s="688"/>
      <c r="SC32" s="688"/>
      <c r="SD32" s="688"/>
      <c r="SE32" s="688"/>
      <c r="SF32" s="688"/>
      <c r="SG32" s="688"/>
      <c r="SH32" s="688"/>
      <c r="SI32" s="688"/>
      <c r="SJ32" s="688"/>
      <c r="SK32" s="688"/>
      <c r="SL32" s="688"/>
      <c r="SM32" s="688"/>
      <c r="SN32" s="688"/>
      <c r="SO32" s="688"/>
      <c r="SP32" s="688"/>
      <c r="SQ32" s="688"/>
      <c r="SR32" s="688"/>
      <c r="SS32" s="688"/>
      <c r="ST32" s="688"/>
      <c r="SU32" s="688"/>
      <c r="SV32" s="688"/>
      <c r="SW32" s="688"/>
      <c r="SX32" s="688"/>
      <c r="SY32" s="688"/>
      <c r="SZ32" s="688"/>
      <c r="TA32" s="688"/>
      <c r="TB32" s="688"/>
      <c r="TC32" s="688"/>
      <c r="TD32" s="688"/>
      <c r="TE32" s="688"/>
      <c r="TF32" s="688"/>
      <c r="TG32" s="688"/>
      <c r="TH32" s="688"/>
      <c r="TI32" s="688"/>
      <c r="TJ32" s="688"/>
      <c r="TK32" s="688"/>
      <c r="TL32" s="688"/>
      <c r="TM32" s="688"/>
      <c r="TN32" s="688"/>
      <c r="TO32" s="688"/>
      <c r="TP32" s="688"/>
      <c r="TQ32" s="688"/>
      <c r="TR32" s="688"/>
      <c r="TS32" s="688"/>
      <c r="TT32" s="688"/>
      <c r="TU32" s="688"/>
      <c r="TV32" s="688"/>
      <c r="TW32" s="688"/>
      <c r="TX32" s="688"/>
      <c r="TY32" s="688"/>
      <c r="TZ32" s="688"/>
      <c r="UA32" s="688"/>
      <c r="UB32" s="688"/>
      <c r="UC32" s="688"/>
      <c r="UD32" s="688"/>
      <c r="UE32" s="688"/>
      <c r="UF32" s="688"/>
      <c r="UG32" s="688"/>
      <c r="UH32" s="688"/>
      <c r="UI32" s="688"/>
      <c r="UJ32" s="688"/>
      <c r="UK32" s="688"/>
      <c r="UL32" s="688"/>
      <c r="UM32" s="688"/>
      <c r="UN32" s="688"/>
      <c r="UO32" s="688"/>
      <c r="UP32" s="688"/>
      <c r="UQ32" s="688"/>
      <c r="UR32" s="688"/>
      <c r="US32" s="688"/>
      <c r="UT32" s="688"/>
      <c r="UU32" s="688"/>
      <c r="UV32" s="688"/>
      <c r="UW32" s="688"/>
      <c r="UX32" s="688"/>
      <c r="UY32" s="688"/>
      <c r="UZ32" s="688"/>
      <c r="VA32" s="688"/>
      <c r="VB32" s="688"/>
      <c r="VC32" s="688"/>
      <c r="VD32" s="688"/>
      <c r="VE32" s="688"/>
      <c r="VF32" s="688"/>
      <c r="VG32" s="688"/>
      <c r="VH32" s="688"/>
      <c r="VI32" s="688"/>
      <c r="VJ32" s="688"/>
      <c r="VK32" s="688"/>
      <c r="VL32" s="688"/>
      <c r="VM32" s="688"/>
      <c r="VN32" s="688"/>
      <c r="VO32" s="688"/>
      <c r="VP32" s="688"/>
      <c r="VQ32" s="688"/>
      <c r="VR32" s="688"/>
      <c r="VS32" s="688"/>
      <c r="VT32" s="688"/>
      <c r="VU32" s="688"/>
      <c r="VV32" s="688"/>
      <c r="VW32" s="688"/>
      <c r="VX32" s="688"/>
      <c r="VY32" s="688"/>
      <c r="VZ32" s="688"/>
      <c r="WA32" s="688"/>
      <c r="WB32" s="688"/>
      <c r="WC32" s="688"/>
      <c r="WD32" s="688"/>
      <c r="WE32" s="688"/>
      <c r="WF32" s="688"/>
      <c r="WG32" s="688"/>
      <c r="WH32" s="688"/>
      <c r="WI32" s="688"/>
      <c r="WJ32" s="688"/>
      <c r="WK32" s="688"/>
      <c r="WL32" s="688"/>
      <c r="WM32" s="688"/>
      <c r="WN32" s="688"/>
      <c r="WO32" s="688"/>
      <c r="WP32" s="688"/>
      <c r="WQ32" s="688"/>
      <c r="WR32" s="688"/>
      <c r="WS32" s="688"/>
      <c r="WT32" s="688"/>
      <c r="WU32" s="688"/>
      <c r="WV32" s="688"/>
      <c r="WW32" s="688"/>
      <c r="WX32" s="688"/>
      <c r="WY32" s="688"/>
      <c r="WZ32" s="688"/>
      <c r="XA32" s="688"/>
      <c r="XB32" s="688"/>
      <c r="XC32" s="688"/>
      <c r="XD32" s="688"/>
      <c r="XE32" s="688"/>
      <c r="XF32" s="688"/>
      <c r="XG32" s="688"/>
      <c r="XH32" s="688"/>
      <c r="XI32" s="688"/>
      <c r="XJ32" s="688"/>
      <c r="XK32" s="688"/>
      <c r="XL32" s="688"/>
      <c r="XM32" s="688"/>
      <c r="XN32" s="688"/>
      <c r="XO32" s="688"/>
      <c r="XP32" s="688"/>
      <c r="XQ32" s="688"/>
      <c r="XR32" s="688"/>
      <c r="XS32" s="688"/>
      <c r="XT32" s="688"/>
      <c r="XU32" s="688"/>
      <c r="XV32" s="688"/>
      <c r="XW32" s="688"/>
      <c r="XX32" s="688"/>
      <c r="XY32" s="688"/>
      <c r="XZ32" s="688"/>
      <c r="YA32" s="688"/>
      <c r="YB32" s="688"/>
      <c r="YC32" s="688"/>
      <c r="YD32" s="688"/>
      <c r="YE32" s="688"/>
      <c r="YF32" s="688"/>
      <c r="YG32" s="688"/>
      <c r="YH32" s="688"/>
      <c r="YI32" s="688"/>
      <c r="YJ32" s="688"/>
      <c r="YK32" s="688"/>
      <c r="YL32" s="688"/>
      <c r="YM32" s="688"/>
      <c r="YN32" s="688"/>
      <c r="YO32" s="688"/>
      <c r="YP32" s="688"/>
      <c r="YQ32" s="688"/>
      <c r="YR32" s="688"/>
      <c r="YS32" s="688"/>
      <c r="YT32" s="688"/>
      <c r="YU32" s="688"/>
      <c r="YV32" s="688"/>
      <c r="YW32" s="688"/>
      <c r="YX32" s="688"/>
      <c r="YY32" s="688"/>
      <c r="YZ32" s="688"/>
      <c r="ZA32" s="688"/>
      <c r="ZB32" s="688"/>
      <c r="ZC32" s="688"/>
      <c r="ZD32" s="688"/>
      <c r="ZE32" s="688"/>
      <c r="ZF32" s="688"/>
      <c r="ZG32" s="688"/>
      <c r="ZH32" s="688"/>
      <c r="ZI32" s="688"/>
      <c r="ZJ32" s="688"/>
      <c r="ZK32" s="688"/>
      <c r="ZL32" s="688"/>
      <c r="ZM32" s="688"/>
      <c r="ZN32" s="688"/>
      <c r="ZO32" s="688"/>
      <c r="ZP32" s="688"/>
      <c r="ZQ32" s="688"/>
      <c r="ZR32" s="688"/>
      <c r="ZS32" s="688"/>
      <c r="ZT32" s="688"/>
      <c r="ZU32" s="688"/>
      <c r="ZV32" s="688"/>
      <c r="ZW32" s="688"/>
      <c r="ZX32" s="688"/>
      <c r="ZY32" s="688"/>
      <c r="ZZ32" s="688"/>
      <c r="AAA32" s="688"/>
      <c r="AAB32" s="688"/>
      <c r="AAC32" s="688"/>
      <c r="AAD32" s="688"/>
      <c r="AAE32" s="688"/>
      <c r="AAF32" s="688"/>
      <c r="AAG32" s="688"/>
      <c r="AAH32" s="688"/>
      <c r="AAI32" s="688"/>
      <c r="AAJ32" s="688"/>
      <c r="AAK32" s="688"/>
      <c r="AAL32" s="688"/>
      <c r="AAM32" s="688"/>
      <c r="AAN32" s="688"/>
      <c r="AAO32" s="688"/>
      <c r="AAP32" s="688"/>
      <c r="AAQ32" s="688"/>
      <c r="AAR32" s="688"/>
      <c r="AAS32" s="688"/>
      <c r="AAT32" s="688"/>
      <c r="AAU32" s="688"/>
      <c r="AAV32" s="688"/>
      <c r="AAW32" s="688"/>
      <c r="AAX32" s="688"/>
      <c r="AAY32" s="688"/>
      <c r="AAZ32" s="688"/>
      <c r="ABA32" s="688"/>
      <c r="ABB32" s="688"/>
      <c r="ABC32" s="688"/>
      <c r="ABD32" s="688"/>
      <c r="ABE32" s="688"/>
      <c r="ABF32" s="688"/>
      <c r="ABG32" s="688"/>
      <c r="ABH32" s="688"/>
      <c r="ABI32" s="688"/>
      <c r="ABJ32" s="688"/>
      <c r="ABK32" s="688"/>
      <c r="ABL32" s="688"/>
      <c r="ABM32" s="688"/>
      <c r="ABN32" s="688"/>
      <c r="ABO32" s="688"/>
      <c r="ABP32" s="688"/>
      <c r="ABQ32" s="688"/>
      <c r="ABR32" s="688"/>
      <c r="ABS32" s="688"/>
      <c r="ABT32" s="688"/>
      <c r="ABU32" s="688"/>
      <c r="ABV32" s="688"/>
      <c r="ABW32" s="688"/>
      <c r="ABX32" s="688"/>
      <c r="ABY32" s="688"/>
      <c r="ABZ32" s="688"/>
      <c r="ACA32" s="688"/>
      <c r="ACB32" s="688"/>
      <c r="ACC32" s="688"/>
      <c r="ACD32" s="688"/>
      <c r="ACE32" s="688"/>
      <c r="ACF32" s="688"/>
      <c r="ACG32" s="688"/>
      <c r="ACH32" s="688"/>
      <c r="ACI32" s="688"/>
      <c r="ACJ32" s="688"/>
      <c r="ACK32" s="688"/>
      <c r="ACL32" s="688"/>
      <c r="ACM32" s="688"/>
      <c r="ACN32" s="688"/>
      <c r="ACO32" s="688"/>
      <c r="ACP32" s="688"/>
      <c r="ACQ32" s="688"/>
      <c r="ACR32" s="688"/>
      <c r="ACS32" s="688"/>
      <c r="ACT32" s="688"/>
      <c r="ACU32" s="688"/>
      <c r="ACV32" s="688"/>
      <c r="ACW32" s="688"/>
      <c r="ACX32" s="688"/>
      <c r="ACY32" s="688"/>
      <c r="ACZ32" s="688"/>
      <c r="ADA32" s="688"/>
      <c r="ADB32" s="688"/>
      <c r="ADC32" s="688"/>
      <c r="ADD32" s="688"/>
      <c r="ADE32" s="688"/>
      <c r="ADF32" s="688"/>
      <c r="ADG32" s="688"/>
      <c r="ADH32" s="688"/>
      <c r="ADI32" s="688"/>
      <c r="ADJ32" s="688"/>
      <c r="ADK32" s="688"/>
      <c r="ADL32" s="688"/>
      <c r="ADM32" s="688"/>
      <c r="ADN32" s="688"/>
      <c r="ADO32" s="688"/>
      <c r="ADP32" s="688"/>
      <c r="ADQ32" s="688"/>
      <c r="ADR32" s="688"/>
      <c r="ADS32" s="688"/>
      <c r="ADT32" s="688"/>
      <c r="ADU32" s="688"/>
      <c r="ADV32" s="688"/>
      <c r="ADW32" s="688"/>
      <c r="ADX32" s="688"/>
      <c r="ADY32" s="688"/>
      <c r="ADZ32" s="688"/>
      <c r="AEA32" s="688"/>
      <c r="AEB32" s="688"/>
      <c r="AEC32" s="688"/>
      <c r="AED32" s="688"/>
      <c r="AEE32" s="688"/>
      <c r="AEF32" s="688"/>
      <c r="AEG32" s="688"/>
      <c r="AEH32" s="688"/>
      <c r="AEI32" s="688"/>
      <c r="AEJ32" s="688"/>
      <c r="AEK32" s="688"/>
      <c r="AEL32" s="688"/>
      <c r="AEM32" s="688"/>
      <c r="AEN32" s="688"/>
      <c r="AEO32" s="688"/>
      <c r="AEP32" s="688"/>
      <c r="AEQ32" s="688"/>
      <c r="AER32" s="688"/>
      <c r="AES32" s="688"/>
      <c r="AET32" s="688"/>
      <c r="AEU32" s="688"/>
      <c r="AEV32" s="688"/>
      <c r="AEW32" s="688"/>
      <c r="AEX32" s="688"/>
      <c r="AEY32" s="688"/>
      <c r="AEZ32" s="688"/>
      <c r="AFA32" s="688"/>
      <c r="AFB32" s="688"/>
      <c r="AFC32" s="688"/>
      <c r="AFD32" s="688"/>
      <c r="AFE32" s="688"/>
      <c r="AFF32" s="688"/>
      <c r="AFG32" s="688"/>
      <c r="AFH32" s="688"/>
      <c r="AFI32" s="688"/>
      <c r="AFJ32" s="688"/>
      <c r="AFK32" s="688"/>
      <c r="AFL32" s="688"/>
      <c r="AFM32" s="688"/>
      <c r="AFN32" s="688"/>
      <c r="AFO32" s="688"/>
      <c r="AFP32" s="688"/>
      <c r="AFQ32" s="688"/>
      <c r="AFR32" s="688"/>
      <c r="AFS32" s="688"/>
      <c r="AFT32" s="688"/>
      <c r="AFU32" s="688"/>
      <c r="AFV32" s="688"/>
      <c r="AFW32" s="688"/>
      <c r="AFX32" s="688"/>
      <c r="AFY32" s="688"/>
      <c r="AFZ32" s="688"/>
      <c r="AGA32" s="688"/>
      <c r="AGB32" s="688"/>
      <c r="AGC32" s="688"/>
      <c r="AGD32" s="688"/>
      <c r="AGE32" s="688"/>
      <c r="AGF32" s="688"/>
      <c r="AGG32" s="688"/>
      <c r="AGH32" s="688"/>
      <c r="AGI32" s="688"/>
      <c r="AGJ32" s="688"/>
      <c r="AGK32" s="688"/>
      <c r="AGL32" s="688"/>
      <c r="AGM32" s="688"/>
      <c r="AGN32" s="688"/>
      <c r="AGO32" s="688"/>
      <c r="AGP32" s="688"/>
      <c r="AGQ32" s="688"/>
      <c r="AGR32" s="688"/>
      <c r="AGS32" s="688"/>
      <c r="AGT32" s="688"/>
      <c r="AGU32" s="688"/>
      <c r="AGV32" s="688"/>
      <c r="AGW32" s="688"/>
      <c r="AGX32" s="688"/>
      <c r="AGY32" s="688"/>
      <c r="AGZ32" s="688"/>
      <c r="AHA32" s="688"/>
      <c r="AHB32" s="688"/>
      <c r="AHC32" s="688"/>
      <c r="AHD32" s="688"/>
      <c r="AHE32" s="688"/>
      <c r="AHF32" s="688"/>
      <c r="AHG32" s="688"/>
      <c r="AHH32" s="688"/>
      <c r="AHI32" s="688"/>
      <c r="AHJ32" s="688"/>
      <c r="AHK32" s="688"/>
      <c r="AHL32" s="688"/>
      <c r="AHM32" s="688"/>
      <c r="AHN32" s="688"/>
      <c r="AHO32" s="688"/>
      <c r="AHP32" s="688"/>
      <c r="AHQ32" s="688"/>
      <c r="AHR32" s="688"/>
      <c r="AHS32" s="688"/>
      <c r="AHT32" s="688"/>
      <c r="AHU32" s="688"/>
      <c r="AHV32" s="688"/>
      <c r="AHW32" s="688"/>
      <c r="AHX32" s="688"/>
      <c r="AHY32" s="688"/>
      <c r="AHZ32" s="688"/>
      <c r="AIA32" s="688"/>
      <c r="AIB32" s="688"/>
      <c r="AIC32" s="688"/>
      <c r="AID32" s="688"/>
      <c r="AIE32" s="688"/>
      <c r="AIF32" s="688"/>
      <c r="AIG32" s="688"/>
      <c r="AIH32" s="688"/>
      <c r="AII32" s="688"/>
      <c r="AIJ32" s="688"/>
      <c r="AIK32" s="688"/>
      <c r="AIL32" s="688"/>
      <c r="AIM32" s="688"/>
      <c r="AIN32" s="688"/>
      <c r="AIO32" s="688"/>
      <c r="AIP32" s="688"/>
      <c r="AIQ32" s="688"/>
      <c r="AIR32" s="688"/>
      <c r="AIS32" s="688"/>
      <c r="AIT32" s="688"/>
      <c r="AIU32" s="688"/>
      <c r="AIV32" s="688"/>
      <c r="AIW32" s="688"/>
      <c r="AIX32" s="688"/>
      <c r="AIY32" s="688"/>
      <c r="AIZ32" s="688"/>
      <c r="AJA32" s="688"/>
      <c r="AJB32" s="688"/>
      <c r="AJC32" s="688"/>
      <c r="AJD32" s="688"/>
      <c r="AJE32" s="688"/>
      <c r="AJF32" s="688"/>
      <c r="AJG32" s="688"/>
      <c r="AJH32" s="688"/>
      <c r="AJI32" s="688"/>
      <c r="AJJ32" s="688"/>
      <c r="AJK32" s="688"/>
      <c r="AJL32" s="688"/>
      <c r="AJM32" s="688"/>
      <c r="AJN32" s="688"/>
      <c r="AJO32" s="688"/>
      <c r="AJP32" s="688"/>
      <c r="AJQ32" s="688"/>
      <c r="AJR32" s="688"/>
      <c r="AJS32" s="688"/>
      <c r="AJT32" s="688"/>
      <c r="AJU32" s="688"/>
      <c r="AJV32" s="688"/>
      <c r="AJW32" s="688"/>
      <c r="AJX32" s="688"/>
      <c r="AJY32" s="688"/>
      <c r="AJZ32" s="688"/>
      <c r="AKA32" s="688"/>
      <c r="AKB32" s="688"/>
      <c r="AKC32" s="688"/>
      <c r="AKD32" s="688"/>
      <c r="AKE32" s="688"/>
      <c r="AKF32" s="688"/>
      <c r="AKG32" s="688"/>
      <c r="AKH32" s="688"/>
      <c r="AKI32" s="688"/>
      <c r="AKJ32" s="688"/>
      <c r="AKK32" s="688"/>
      <c r="AKL32" s="688"/>
      <c r="AKM32" s="688"/>
      <c r="AKN32" s="688"/>
      <c r="AKO32" s="688"/>
      <c r="AKP32" s="688"/>
      <c r="AKQ32" s="688"/>
      <c r="AKR32" s="688"/>
      <c r="AKS32" s="688"/>
      <c r="AKT32" s="688"/>
      <c r="AKU32" s="688"/>
      <c r="AKV32" s="688"/>
      <c r="AKW32" s="688"/>
      <c r="AKX32" s="688"/>
      <c r="AKY32" s="688"/>
      <c r="AKZ32" s="688"/>
      <c r="ALA32" s="688"/>
      <c r="ALB32" s="688"/>
      <c r="ALC32" s="688"/>
      <c r="ALD32" s="688"/>
      <c r="ALE32" s="688"/>
      <c r="ALF32" s="688"/>
      <c r="ALG32" s="688"/>
      <c r="ALH32" s="688"/>
      <c r="ALI32" s="688"/>
      <c r="ALJ32" s="688"/>
      <c r="ALK32" s="688"/>
      <c r="ALL32" s="688"/>
      <c r="ALM32" s="688"/>
      <c r="ALN32" s="688"/>
      <c r="ALO32" s="688"/>
      <c r="ALP32" s="688"/>
      <c r="ALQ32" s="688"/>
      <c r="ALR32" s="688"/>
      <c r="ALS32" s="688"/>
      <c r="ALT32" s="688"/>
      <c r="ALU32" s="688"/>
      <c r="ALV32" s="688"/>
      <c r="ALW32" s="688"/>
      <c r="ALX32" s="688"/>
      <c r="ALY32" s="688"/>
      <c r="ALZ32" s="688"/>
      <c r="AMA32" s="688"/>
      <c r="AMB32" s="688"/>
      <c r="AMC32" s="688"/>
      <c r="AMD32" s="688"/>
      <c r="AME32" s="688"/>
      <c r="AMF32" s="688"/>
      <c r="AMG32" s="688"/>
      <c r="AMH32" s="688"/>
      <c r="AMI32" s="688"/>
      <c r="AMJ32" s="688"/>
    </row>
    <row r="33" spans="1:6" s="695" customFormat="1" ht="53.25" customHeight="1">
      <c r="A33" s="692"/>
      <c r="B33" s="700"/>
      <c r="C33" s="700"/>
      <c r="D33" s="699" t="s">
        <v>701</v>
      </c>
      <c r="E33" s="1652" t="e">
        <f>#REF!</f>
        <v>#REF!</v>
      </c>
      <c r="F33" s="1652"/>
    </row>
    <row r="34" spans="1:6" s="702" customFormat="1" ht="18.75" customHeight="1">
      <c r="A34" s="701"/>
      <c r="B34" s="701"/>
      <c r="C34" s="701"/>
      <c r="D34" s="701"/>
      <c r="E34" s="701"/>
      <c r="F34" s="701"/>
    </row>
    <row r="35" spans="1:6" ht="18.75" customHeight="1">
      <c r="B35" s="703" t="s">
        <v>702</v>
      </c>
      <c r="C35" s="704"/>
      <c r="D35" s="704"/>
      <c r="E35" s="704"/>
      <c r="F35" s="705" t="s">
        <v>703</v>
      </c>
    </row>
    <row r="36" spans="1:6" ht="101.25" customHeight="1"/>
  </sheetData>
  <mergeCells count="15">
    <mergeCell ref="B2:F2"/>
    <mergeCell ref="B4:F4"/>
    <mergeCell ref="B5:F5"/>
    <mergeCell ref="D6:F6"/>
    <mergeCell ref="E7:F7"/>
    <mergeCell ref="B28:F28"/>
    <mergeCell ref="B30:F30"/>
    <mergeCell ref="B31:F31"/>
    <mergeCell ref="D32:F32"/>
    <mergeCell ref="E33:F33"/>
    <mergeCell ref="B15:F15"/>
    <mergeCell ref="B17:F17"/>
    <mergeCell ref="B18:F18"/>
    <mergeCell ref="D19:F19"/>
    <mergeCell ref="E20:F20"/>
  </mergeCells>
  <pageMargins left="0.27569444444444402" right="0.27569444444444402" top="0.27569444444444402" bottom="0.27569444444444402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Листы</vt:lpstr>
      </vt:variant>
      <vt:variant>
        <vt:i4>27</vt:i4>
      </vt:variant>
      <vt:variant>
        <vt:lpstr>Именованные диапазоны</vt:lpstr>
      </vt:variant>
      <vt:variant>
        <vt:i4>7</vt:i4>
      </vt:variant>
    </vt:vector>
  </HeadingPairs>
  <TitlesOfParts>
    <vt:vector size="34" baseType="lpstr">
      <vt:lpstr>Командный зачет</vt:lpstr>
      <vt:lpstr>Кубок края</vt:lpstr>
      <vt:lpstr>Открытый Кубок СибГУ</vt:lpstr>
      <vt:lpstr>Итоговый Всероссийские</vt:lpstr>
      <vt:lpstr>Отчет_ЦСП</vt:lpstr>
      <vt:lpstr>Отчет_ГСК_Первенство</vt:lpstr>
      <vt:lpstr>СП_без предварительных</vt:lpstr>
      <vt:lpstr>СП_с предварительными</vt:lpstr>
      <vt:lpstr>Грамоты_МИНСПОРТА</vt:lpstr>
      <vt:lpstr>Ведомость 6</vt:lpstr>
      <vt:lpstr>Техническая_марафон</vt:lpstr>
      <vt:lpstr>Именная заявка марафон</vt:lpstr>
      <vt:lpstr>Техническая один зачет</vt:lpstr>
      <vt:lpstr>Именная заявка один зачет</vt:lpstr>
      <vt:lpstr>Техническая по возраст группам</vt:lpstr>
      <vt:lpstr>Именная по возраст группам</vt:lpstr>
      <vt:lpstr>Техническая параллельный зачет</vt:lpstr>
      <vt:lpstr>Нормативы</vt:lpstr>
      <vt:lpstr>Карточка эстафеты</vt:lpstr>
      <vt:lpstr>Дистанции взрослые</vt:lpstr>
      <vt:lpstr>Рекорды</vt:lpstr>
      <vt:lpstr>Ст. секундометрист</vt:lpstr>
      <vt:lpstr>Очки</vt:lpstr>
      <vt:lpstr>Протокол прохождения марафон</vt:lpstr>
      <vt:lpstr>Протокол_прохождения</vt:lpstr>
      <vt:lpstr>нормы_с_28.02.20</vt:lpstr>
      <vt:lpstr>Нормы 2018-1921</vt:lpstr>
      <vt:lpstr>Именная заявка марафон!Заголовки_для_печати</vt:lpstr>
      <vt:lpstr>Именная заявка один зачет!Заголовки_для_печати</vt:lpstr>
      <vt:lpstr>Именная по возраст группам!Заголовки_для_печати</vt:lpstr>
      <vt:lpstr>Техническая один зачет!Заголовки_для_печати</vt:lpstr>
      <vt:lpstr>Техническая параллельный зачет!Заголовки_для_печати</vt:lpstr>
      <vt:lpstr>Техническая по возраст группам!Заголовки_для_печати</vt:lpstr>
      <vt:lpstr>нормы_с_28.02.20!Область_печати</vt:lpstr>
    </vt:vector>
  </TitlesOfParts>
  <Company>HomeLab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Шаблон технических заявок</dc:title>
  <dc:creator>Реди</dc:creator>
  <dc:description>Федерация подводного спорта Красноярского края</dc:description>
  <cp:lastModifiedBy>Тренер</cp:lastModifiedBy>
  <cp:lastPrinted>2021-12-11T05:05:21Z</cp:lastPrinted>
  <dcterms:created xsi:type="dcterms:W3CDTF">2015-02-24T12:52:44Z</dcterms:created>
  <dcterms:modified xsi:type="dcterms:W3CDTF">2021-12-11T05:12:45Z</dcterms:modified>
</cp:coreProperties>
</file>